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c\Desktop\16. PLANTILLA DEL PERSONAL  (PP)\"/>
    </mc:Choice>
  </mc:AlternateContent>
  <xr:revisionPtr revIDLastSave="0" documentId="13_ncr:1_{533611A5-EEBC-4E43-B314-49F86E33C47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TILLA DE PERSONAL 2025" sheetId="1" r:id="rId1"/>
  </sheets>
  <definedNames>
    <definedName name="_xlnm._FilterDatabase" localSheetId="0" hidden="1">'PLANTILLA DE PERSONAL 2025'!$A$7:$R$429</definedName>
    <definedName name="_xlnm.Print_Area" localSheetId="0">'PLANTILLA DE PERSONAL 2025'!$A$1:$R$430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5" i="1" l="1"/>
  <c r="L85" i="1"/>
  <c r="L86" i="1"/>
  <c r="L69" i="1"/>
  <c r="O370" i="1" l="1"/>
  <c r="I370" i="1"/>
  <c r="L414" i="1"/>
  <c r="L415" i="1"/>
  <c r="L416" i="1"/>
  <c r="L417" i="1"/>
  <c r="L418" i="1"/>
  <c r="L419" i="1"/>
  <c r="L420" i="1"/>
  <c r="L421" i="1"/>
  <c r="L422" i="1"/>
  <c r="L423" i="1"/>
  <c r="L424" i="1"/>
  <c r="K414" i="1"/>
  <c r="K415" i="1"/>
  <c r="K416" i="1"/>
  <c r="K417" i="1"/>
  <c r="K418" i="1"/>
  <c r="K419" i="1"/>
  <c r="K420" i="1"/>
  <c r="K421" i="1"/>
  <c r="K422" i="1"/>
  <c r="K423" i="1"/>
  <c r="K424" i="1"/>
  <c r="L413" i="1"/>
  <c r="K413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L352" i="1"/>
  <c r="K352" i="1"/>
  <c r="L319" i="1"/>
  <c r="L320" i="1"/>
  <c r="L321" i="1"/>
  <c r="L322" i="1"/>
  <c r="K319" i="1"/>
  <c r="K320" i="1"/>
  <c r="K321" i="1"/>
  <c r="K322" i="1"/>
  <c r="L318" i="1"/>
  <c r="K318" i="1"/>
  <c r="L295" i="1"/>
  <c r="L296" i="1"/>
  <c r="L297" i="1"/>
  <c r="L298" i="1"/>
  <c r="K295" i="1"/>
  <c r="K296" i="1"/>
  <c r="K297" i="1"/>
  <c r="K298" i="1"/>
  <c r="L294" i="1"/>
  <c r="K294" i="1"/>
  <c r="L272" i="1"/>
  <c r="L273" i="1"/>
  <c r="L274" i="1"/>
  <c r="L275" i="1"/>
  <c r="L276" i="1"/>
  <c r="L277" i="1"/>
  <c r="L278" i="1"/>
  <c r="L279" i="1"/>
  <c r="L280" i="1"/>
  <c r="K272" i="1"/>
  <c r="K273" i="1"/>
  <c r="K274" i="1"/>
  <c r="K275" i="1"/>
  <c r="K276" i="1"/>
  <c r="K277" i="1"/>
  <c r="K278" i="1"/>
  <c r="K279" i="1"/>
  <c r="K280" i="1"/>
  <c r="L271" i="1"/>
  <c r="K271" i="1"/>
  <c r="L255" i="1"/>
  <c r="L256" i="1"/>
  <c r="K255" i="1"/>
  <c r="K256" i="1"/>
  <c r="L254" i="1"/>
  <c r="K254" i="1"/>
  <c r="L239" i="1"/>
  <c r="L238" i="1"/>
  <c r="K239" i="1"/>
  <c r="K238" i="1"/>
  <c r="L223" i="1"/>
  <c r="K223" i="1"/>
  <c r="L217" i="1"/>
  <c r="L218" i="1"/>
  <c r="L219" i="1"/>
  <c r="L220" i="1"/>
  <c r="L221" i="1"/>
  <c r="L222" i="1"/>
  <c r="K217" i="1"/>
  <c r="K218" i="1"/>
  <c r="K219" i="1"/>
  <c r="K220" i="1"/>
  <c r="K221" i="1"/>
  <c r="K222" i="1"/>
  <c r="L210" i="1"/>
  <c r="L211" i="1"/>
  <c r="L212" i="1"/>
  <c r="L213" i="1"/>
  <c r="L214" i="1"/>
  <c r="L215" i="1"/>
  <c r="L216" i="1"/>
  <c r="K210" i="1"/>
  <c r="K211" i="1"/>
  <c r="K212" i="1"/>
  <c r="K213" i="1"/>
  <c r="K214" i="1"/>
  <c r="K215" i="1"/>
  <c r="K216" i="1"/>
  <c r="L207" i="1"/>
  <c r="L208" i="1"/>
  <c r="L209" i="1"/>
  <c r="K207" i="1"/>
  <c r="K208" i="1"/>
  <c r="K209" i="1"/>
  <c r="L206" i="1"/>
  <c r="K206" i="1"/>
  <c r="K282" i="1" l="1"/>
  <c r="K300" i="1"/>
  <c r="L300" i="1"/>
  <c r="L282" i="1"/>
  <c r="L47" i="1"/>
  <c r="K47" i="1"/>
  <c r="L337" i="1"/>
  <c r="K337" i="1"/>
  <c r="O337" i="1"/>
  <c r="I337" i="1"/>
  <c r="O297" i="1"/>
  <c r="I297" i="1"/>
  <c r="O298" i="1"/>
  <c r="I298" i="1"/>
  <c r="O296" i="1"/>
  <c r="I296" i="1"/>
  <c r="O238" i="1"/>
  <c r="I238" i="1"/>
  <c r="O295" i="1"/>
  <c r="I295" i="1"/>
  <c r="O222" i="1"/>
  <c r="I222" i="1"/>
  <c r="I223" i="1"/>
  <c r="O223" i="1"/>
  <c r="O221" i="1"/>
  <c r="I221" i="1"/>
  <c r="O220" i="1"/>
  <c r="I220" i="1"/>
  <c r="O219" i="1"/>
  <c r="I219" i="1"/>
  <c r="Q219" i="1" s="1"/>
  <c r="R219" i="1" s="1"/>
  <c r="O175" i="1"/>
  <c r="L175" i="1"/>
  <c r="K175" i="1"/>
  <c r="I175" i="1"/>
  <c r="O174" i="1"/>
  <c r="L174" i="1"/>
  <c r="K174" i="1"/>
  <c r="I174" i="1"/>
  <c r="O173" i="1"/>
  <c r="L173" i="1"/>
  <c r="K173" i="1"/>
  <c r="I173" i="1"/>
  <c r="O172" i="1"/>
  <c r="L172" i="1"/>
  <c r="K172" i="1"/>
  <c r="I172" i="1"/>
  <c r="L170" i="1"/>
  <c r="K170" i="1"/>
  <c r="L169" i="1"/>
  <c r="K169" i="1"/>
  <c r="L168" i="1"/>
  <c r="K168" i="1"/>
  <c r="L126" i="1"/>
  <c r="L128" i="1"/>
  <c r="K126" i="1"/>
  <c r="K128" i="1"/>
  <c r="K105" i="1"/>
  <c r="K104" i="1"/>
  <c r="K69" i="1"/>
  <c r="K86" i="1"/>
  <c r="K85" i="1"/>
  <c r="O68" i="1"/>
  <c r="O67" i="1"/>
  <c r="O66" i="1"/>
  <c r="L68" i="1"/>
  <c r="K68" i="1"/>
  <c r="I68" i="1"/>
  <c r="L67" i="1"/>
  <c r="K67" i="1"/>
  <c r="I67" i="1"/>
  <c r="O65" i="1"/>
  <c r="I64" i="1"/>
  <c r="O424" i="1"/>
  <c r="I424" i="1"/>
  <c r="O423" i="1"/>
  <c r="I423" i="1"/>
  <c r="O422" i="1"/>
  <c r="I422" i="1"/>
  <c r="O421" i="1"/>
  <c r="I421" i="1"/>
  <c r="O420" i="1"/>
  <c r="I420" i="1"/>
  <c r="O419" i="1"/>
  <c r="I419" i="1"/>
  <c r="O418" i="1"/>
  <c r="I418" i="1"/>
  <c r="O417" i="1"/>
  <c r="I417" i="1"/>
  <c r="O416" i="1"/>
  <c r="I416" i="1"/>
  <c r="O414" i="1"/>
  <c r="I414" i="1"/>
  <c r="O413" i="1"/>
  <c r="I413" i="1"/>
  <c r="O398" i="1"/>
  <c r="I398" i="1"/>
  <c r="O397" i="1"/>
  <c r="I397" i="1"/>
  <c r="O396" i="1"/>
  <c r="I396" i="1"/>
  <c r="O395" i="1"/>
  <c r="I395" i="1"/>
  <c r="O394" i="1"/>
  <c r="I394" i="1"/>
  <c r="O393" i="1"/>
  <c r="I393" i="1"/>
  <c r="O392" i="1"/>
  <c r="I392" i="1"/>
  <c r="O391" i="1"/>
  <c r="I391" i="1"/>
  <c r="O390" i="1"/>
  <c r="I390" i="1"/>
  <c r="O389" i="1"/>
  <c r="I389" i="1"/>
  <c r="O388" i="1"/>
  <c r="I388" i="1"/>
  <c r="O387" i="1"/>
  <c r="I387" i="1"/>
  <c r="O386" i="1"/>
  <c r="I386" i="1"/>
  <c r="O385" i="1"/>
  <c r="I385" i="1"/>
  <c r="O384" i="1"/>
  <c r="I384" i="1"/>
  <c r="O383" i="1"/>
  <c r="I383" i="1"/>
  <c r="O382" i="1"/>
  <c r="I382" i="1"/>
  <c r="O381" i="1"/>
  <c r="I381" i="1"/>
  <c r="O380" i="1"/>
  <c r="I380" i="1"/>
  <c r="O377" i="1"/>
  <c r="I377" i="1"/>
  <c r="O376" i="1"/>
  <c r="I376" i="1"/>
  <c r="O375" i="1"/>
  <c r="I375" i="1"/>
  <c r="O374" i="1"/>
  <c r="I374" i="1"/>
  <c r="O373" i="1"/>
  <c r="I373" i="1"/>
  <c r="O371" i="1"/>
  <c r="I371" i="1"/>
  <c r="O352" i="1"/>
  <c r="I352" i="1"/>
  <c r="O322" i="1"/>
  <c r="I322" i="1"/>
  <c r="O321" i="1"/>
  <c r="I321" i="1"/>
  <c r="O320" i="1"/>
  <c r="I320" i="1"/>
  <c r="O319" i="1"/>
  <c r="I319" i="1"/>
  <c r="O318" i="1"/>
  <c r="I318" i="1"/>
  <c r="O317" i="1"/>
  <c r="L317" i="1"/>
  <c r="K317" i="1"/>
  <c r="I317" i="1"/>
  <c r="O316" i="1"/>
  <c r="L316" i="1"/>
  <c r="K316" i="1"/>
  <c r="I316" i="1"/>
  <c r="O315" i="1"/>
  <c r="L315" i="1"/>
  <c r="K315" i="1"/>
  <c r="I315" i="1"/>
  <c r="O314" i="1"/>
  <c r="L314" i="1"/>
  <c r="K314" i="1"/>
  <c r="I314" i="1"/>
  <c r="O313" i="1"/>
  <c r="L313" i="1"/>
  <c r="K313" i="1"/>
  <c r="I313" i="1"/>
  <c r="O294" i="1"/>
  <c r="I294" i="1"/>
  <c r="O280" i="1"/>
  <c r="I280" i="1"/>
  <c r="O279" i="1"/>
  <c r="I279" i="1"/>
  <c r="O278" i="1"/>
  <c r="I278" i="1"/>
  <c r="O277" i="1"/>
  <c r="I277" i="1"/>
  <c r="O276" i="1"/>
  <c r="I276" i="1"/>
  <c r="O275" i="1"/>
  <c r="I275" i="1"/>
  <c r="O274" i="1"/>
  <c r="I274" i="1"/>
  <c r="O273" i="1"/>
  <c r="I273" i="1"/>
  <c r="O271" i="1"/>
  <c r="I271" i="1"/>
  <c r="O256" i="1"/>
  <c r="I256" i="1"/>
  <c r="O255" i="1"/>
  <c r="I255" i="1"/>
  <c r="O254" i="1"/>
  <c r="I254" i="1"/>
  <c r="O239" i="1"/>
  <c r="I239" i="1"/>
  <c r="O218" i="1"/>
  <c r="I218" i="1"/>
  <c r="O217" i="1"/>
  <c r="I217" i="1"/>
  <c r="O216" i="1"/>
  <c r="I216" i="1"/>
  <c r="O215" i="1"/>
  <c r="I215" i="1"/>
  <c r="O214" i="1"/>
  <c r="I214" i="1"/>
  <c r="O213" i="1"/>
  <c r="I213" i="1"/>
  <c r="O212" i="1"/>
  <c r="I212" i="1"/>
  <c r="O211" i="1"/>
  <c r="I211" i="1"/>
  <c r="O210" i="1"/>
  <c r="I210" i="1"/>
  <c r="O209" i="1"/>
  <c r="I209" i="1"/>
  <c r="O208" i="1"/>
  <c r="I208" i="1"/>
  <c r="O207" i="1"/>
  <c r="I207" i="1"/>
  <c r="O206" i="1"/>
  <c r="I206" i="1"/>
  <c r="O205" i="1"/>
  <c r="L205" i="1"/>
  <c r="K205" i="1"/>
  <c r="I205" i="1"/>
  <c r="O204" i="1"/>
  <c r="L204" i="1"/>
  <c r="K204" i="1"/>
  <c r="I204" i="1"/>
  <c r="O203" i="1"/>
  <c r="L203" i="1"/>
  <c r="K203" i="1"/>
  <c r="I203" i="1"/>
  <c r="O202" i="1"/>
  <c r="L202" i="1"/>
  <c r="K202" i="1"/>
  <c r="I202" i="1"/>
  <c r="O201" i="1"/>
  <c r="L201" i="1"/>
  <c r="K201" i="1"/>
  <c r="I201" i="1"/>
  <c r="O200" i="1"/>
  <c r="L200" i="1"/>
  <c r="K200" i="1"/>
  <c r="I200" i="1"/>
  <c r="O199" i="1"/>
  <c r="L199" i="1"/>
  <c r="K199" i="1"/>
  <c r="I199" i="1"/>
  <c r="O198" i="1"/>
  <c r="L198" i="1"/>
  <c r="K198" i="1"/>
  <c r="I198" i="1"/>
  <c r="O197" i="1"/>
  <c r="L197" i="1"/>
  <c r="K197" i="1"/>
  <c r="I197" i="1"/>
  <c r="O196" i="1"/>
  <c r="L196" i="1"/>
  <c r="K196" i="1"/>
  <c r="I196" i="1"/>
  <c r="O195" i="1"/>
  <c r="L195" i="1"/>
  <c r="K195" i="1"/>
  <c r="I195" i="1"/>
  <c r="O194" i="1"/>
  <c r="L194" i="1"/>
  <c r="K194" i="1"/>
  <c r="I194" i="1"/>
  <c r="O193" i="1"/>
  <c r="L193" i="1"/>
  <c r="K193" i="1"/>
  <c r="I193" i="1"/>
  <c r="O192" i="1"/>
  <c r="L192" i="1"/>
  <c r="K192" i="1"/>
  <c r="I192" i="1"/>
  <c r="O191" i="1"/>
  <c r="L191" i="1"/>
  <c r="K191" i="1"/>
  <c r="I191" i="1"/>
  <c r="O170" i="1"/>
  <c r="I170" i="1"/>
  <c r="O169" i="1"/>
  <c r="I169" i="1"/>
  <c r="O168" i="1"/>
  <c r="I168" i="1"/>
  <c r="O167" i="1"/>
  <c r="L167" i="1"/>
  <c r="K167" i="1"/>
  <c r="I167" i="1"/>
  <c r="O166" i="1"/>
  <c r="L166" i="1"/>
  <c r="K166" i="1"/>
  <c r="I166" i="1"/>
  <c r="O128" i="1"/>
  <c r="I128" i="1"/>
  <c r="O126" i="1"/>
  <c r="I126" i="1"/>
  <c r="O105" i="1"/>
  <c r="L105" i="1"/>
  <c r="I105" i="1"/>
  <c r="O104" i="1"/>
  <c r="L104" i="1"/>
  <c r="I104" i="1"/>
  <c r="O86" i="1"/>
  <c r="I86" i="1"/>
  <c r="O85" i="1"/>
  <c r="I85" i="1"/>
  <c r="O69" i="1"/>
  <c r="I69" i="1"/>
  <c r="I66" i="1"/>
  <c r="O64" i="1"/>
  <c r="O47" i="1"/>
  <c r="I47" i="1"/>
  <c r="O46" i="1"/>
  <c r="I46" i="1"/>
  <c r="O31" i="1"/>
  <c r="I31" i="1"/>
  <c r="Q296" i="1" l="1"/>
  <c r="R296" i="1" s="1"/>
  <c r="I300" i="1"/>
  <c r="Q173" i="1"/>
  <c r="R173" i="1" s="1"/>
  <c r="Q223" i="1"/>
  <c r="R223" i="1" s="1"/>
  <c r="Q297" i="1"/>
  <c r="R297" i="1" s="1"/>
  <c r="Q337" i="1"/>
  <c r="R337" i="1" s="1"/>
  <c r="Q298" i="1"/>
  <c r="R298" i="1" s="1"/>
  <c r="Q295" i="1"/>
  <c r="R295" i="1" s="1"/>
  <c r="Q170" i="1"/>
  <c r="R170" i="1" s="1"/>
  <c r="Q222" i="1"/>
  <c r="R222" i="1" s="1"/>
  <c r="Q167" i="1"/>
  <c r="R167" i="1" s="1"/>
  <c r="Q172" i="1"/>
  <c r="R172" i="1" s="1"/>
  <c r="Q175" i="1"/>
  <c r="R175" i="1" s="1"/>
  <c r="Q221" i="1"/>
  <c r="R221" i="1" s="1"/>
  <c r="Q220" i="1"/>
  <c r="R220" i="1" s="1"/>
  <c r="Q166" i="1"/>
  <c r="R166" i="1" s="1"/>
  <c r="Q85" i="1"/>
  <c r="R85" i="1" s="1"/>
  <c r="Q191" i="1"/>
  <c r="R191" i="1" s="1"/>
  <c r="Q194" i="1"/>
  <c r="R194" i="1" s="1"/>
  <c r="Q197" i="1"/>
  <c r="R197" i="1" s="1"/>
  <c r="Q206" i="1"/>
  <c r="R206" i="1" s="1"/>
  <c r="Q67" i="1"/>
  <c r="R67" i="1" s="1"/>
  <c r="Q208" i="1"/>
  <c r="R208" i="1" s="1"/>
  <c r="Q211" i="1"/>
  <c r="R211" i="1" s="1"/>
  <c r="Q213" i="1"/>
  <c r="R213" i="1" s="1"/>
  <c r="Q216" i="1"/>
  <c r="R216" i="1" s="1"/>
  <c r="Q238" i="1"/>
  <c r="R238" i="1" s="1"/>
  <c r="Q255" i="1"/>
  <c r="R255" i="1" s="1"/>
  <c r="Q273" i="1"/>
  <c r="R273" i="1" s="1"/>
  <c r="Q276" i="1"/>
  <c r="R276" i="1" s="1"/>
  <c r="Q279" i="1"/>
  <c r="R279" i="1" s="1"/>
  <c r="Q314" i="1"/>
  <c r="R314" i="1" s="1"/>
  <c r="Q317" i="1"/>
  <c r="R317" i="1" s="1"/>
  <c r="Q320" i="1"/>
  <c r="R320" i="1" s="1"/>
  <c r="Q352" i="1"/>
  <c r="R352" i="1" s="1"/>
  <c r="Q373" i="1"/>
  <c r="R373" i="1" s="1"/>
  <c r="Q376" i="1"/>
  <c r="R376" i="1" s="1"/>
  <c r="Q381" i="1"/>
  <c r="R381" i="1" s="1"/>
  <c r="Q384" i="1"/>
  <c r="R384" i="1" s="1"/>
  <c r="Q387" i="1"/>
  <c r="R387" i="1" s="1"/>
  <c r="Q390" i="1"/>
  <c r="R390" i="1" s="1"/>
  <c r="Q393" i="1"/>
  <c r="R393" i="1" s="1"/>
  <c r="Q396" i="1"/>
  <c r="R396" i="1" s="1"/>
  <c r="Q413" i="1"/>
  <c r="R413" i="1" s="1"/>
  <c r="Q417" i="1"/>
  <c r="R417" i="1" s="1"/>
  <c r="Q420" i="1"/>
  <c r="R420" i="1" s="1"/>
  <c r="Q423" i="1"/>
  <c r="R423" i="1" s="1"/>
  <c r="Q86" i="1"/>
  <c r="R86" i="1" s="1"/>
  <c r="Q69" i="1"/>
  <c r="R69" i="1" s="1"/>
  <c r="Q105" i="1"/>
  <c r="R105" i="1" s="1"/>
  <c r="Q192" i="1"/>
  <c r="R192" i="1" s="1"/>
  <c r="Q195" i="1"/>
  <c r="R195" i="1" s="1"/>
  <c r="Q198" i="1"/>
  <c r="R198" i="1" s="1"/>
  <c r="Q201" i="1"/>
  <c r="R201" i="1" s="1"/>
  <c r="Q204" i="1"/>
  <c r="R204" i="1" s="1"/>
  <c r="Q207" i="1"/>
  <c r="R207" i="1" s="1"/>
  <c r="Q209" i="1"/>
  <c r="R209" i="1" s="1"/>
  <c r="Q212" i="1"/>
  <c r="R212" i="1" s="1"/>
  <c r="Q214" i="1"/>
  <c r="R214" i="1" s="1"/>
  <c r="Q217" i="1"/>
  <c r="R217" i="1" s="1"/>
  <c r="Q239" i="1"/>
  <c r="R239" i="1" s="1"/>
  <c r="Q256" i="1"/>
  <c r="R256" i="1" s="1"/>
  <c r="Q274" i="1"/>
  <c r="R274" i="1" s="1"/>
  <c r="Q277" i="1"/>
  <c r="R277" i="1" s="1"/>
  <c r="Q280" i="1"/>
  <c r="R280" i="1" s="1"/>
  <c r="Q315" i="1"/>
  <c r="R315" i="1" s="1"/>
  <c r="Q318" i="1"/>
  <c r="R318" i="1" s="1"/>
  <c r="Q321" i="1"/>
  <c r="R321" i="1" s="1"/>
  <c r="Q374" i="1"/>
  <c r="R374" i="1" s="1"/>
  <c r="Q377" i="1"/>
  <c r="R377" i="1" s="1"/>
  <c r="Q382" i="1"/>
  <c r="R382" i="1" s="1"/>
  <c r="Q385" i="1"/>
  <c r="R385" i="1" s="1"/>
  <c r="Q388" i="1"/>
  <c r="R388" i="1" s="1"/>
  <c r="Q391" i="1"/>
  <c r="R391" i="1" s="1"/>
  <c r="Q394" i="1"/>
  <c r="R394" i="1" s="1"/>
  <c r="Q397" i="1"/>
  <c r="R397" i="1" s="1"/>
  <c r="Q414" i="1"/>
  <c r="R414" i="1" s="1"/>
  <c r="Q418" i="1"/>
  <c r="R418" i="1" s="1"/>
  <c r="Q421" i="1"/>
  <c r="R421" i="1" s="1"/>
  <c r="Q424" i="1"/>
  <c r="R424" i="1" s="1"/>
  <c r="Q126" i="1"/>
  <c r="R126" i="1" s="1"/>
  <c r="Q168" i="1"/>
  <c r="R168" i="1" s="1"/>
  <c r="Q174" i="1"/>
  <c r="R174" i="1" s="1"/>
  <c r="Q128" i="1"/>
  <c r="R128" i="1" s="1"/>
  <c r="Q169" i="1"/>
  <c r="R169" i="1" s="1"/>
  <c r="Q193" i="1"/>
  <c r="R193" i="1" s="1"/>
  <c r="Q196" i="1"/>
  <c r="R196" i="1" s="1"/>
  <c r="Q199" i="1"/>
  <c r="R199" i="1" s="1"/>
  <c r="Q202" i="1"/>
  <c r="R202" i="1" s="1"/>
  <c r="Q47" i="1"/>
  <c r="R47" i="1" s="1"/>
  <c r="Q422" i="1"/>
  <c r="R422" i="1" s="1"/>
  <c r="Q104" i="1"/>
  <c r="R104" i="1" s="1"/>
  <c r="Q200" i="1"/>
  <c r="R200" i="1" s="1"/>
  <c r="Q203" i="1"/>
  <c r="R203" i="1" s="1"/>
  <c r="Q205" i="1"/>
  <c r="R205" i="1" s="1"/>
  <c r="Q210" i="1"/>
  <c r="R210" i="1" s="1"/>
  <c r="Q215" i="1"/>
  <c r="R215" i="1" s="1"/>
  <c r="Q218" i="1"/>
  <c r="R218" i="1" s="1"/>
  <c r="Q254" i="1"/>
  <c r="R254" i="1" s="1"/>
  <c r="Q271" i="1"/>
  <c r="R271" i="1" s="1"/>
  <c r="Q275" i="1"/>
  <c r="R275" i="1" s="1"/>
  <c r="Q278" i="1"/>
  <c r="R278" i="1" s="1"/>
  <c r="Q294" i="1"/>
  <c r="R294" i="1" s="1"/>
  <c r="Q313" i="1"/>
  <c r="R313" i="1" s="1"/>
  <c r="Q316" i="1"/>
  <c r="R316" i="1" s="1"/>
  <c r="Q319" i="1"/>
  <c r="R319" i="1" s="1"/>
  <c r="Q322" i="1"/>
  <c r="R322" i="1" s="1"/>
  <c r="Q371" i="1"/>
  <c r="R371" i="1" s="1"/>
  <c r="Q375" i="1"/>
  <c r="R375" i="1" s="1"/>
  <c r="Q380" i="1"/>
  <c r="R380" i="1" s="1"/>
  <c r="Q383" i="1"/>
  <c r="R383" i="1" s="1"/>
  <c r="Q386" i="1"/>
  <c r="R386" i="1" s="1"/>
  <c r="Q389" i="1"/>
  <c r="R389" i="1" s="1"/>
  <c r="Q392" i="1"/>
  <c r="R392" i="1" s="1"/>
  <c r="Q395" i="1"/>
  <c r="R395" i="1" s="1"/>
  <c r="Q398" i="1"/>
  <c r="R398" i="1" s="1"/>
  <c r="Q416" i="1"/>
  <c r="R416" i="1" s="1"/>
  <c r="Q419" i="1"/>
  <c r="R419" i="1" s="1"/>
  <c r="Q68" i="1"/>
  <c r="R68" i="1" s="1"/>
  <c r="O415" i="1"/>
  <c r="I415" i="1"/>
  <c r="L370" i="1"/>
  <c r="K370" i="1"/>
  <c r="R300" i="1" l="1"/>
  <c r="Q415" i="1"/>
  <c r="R415" i="1" s="1"/>
  <c r="Q370" i="1"/>
  <c r="R370" i="1" s="1"/>
  <c r="I324" i="1"/>
  <c r="I325" i="1" l="1"/>
  <c r="I426" i="1"/>
  <c r="I427" i="1" l="1"/>
  <c r="J71" i="1"/>
  <c r="J72" i="1" s="1"/>
  <c r="M71" i="1"/>
  <c r="M72" i="1" s="1"/>
  <c r="N71" i="1"/>
  <c r="N72" i="1" s="1"/>
  <c r="P71" i="1"/>
  <c r="P72" i="1" s="1"/>
  <c r="J282" i="1"/>
  <c r="J283" i="1" s="1"/>
  <c r="M282" i="1"/>
  <c r="M283" i="1" s="1"/>
  <c r="N282" i="1"/>
  <c r="N283" i="1" s="1"/>
  <c r="P282" i="1"/>
  <c r="P283" i="1" s="1"/>
  <c r="J400" i="1"/>
  <c r="J401" i="1" s="1"/>
  <c r="M400" i="1"/>
  <c r="M401" i="1" s="1"/>
  <c r="N400" i="1"/>
  <c r="N401" i="1" s="1"/>
  <c r="P400" i="1"/>
  <c r="P401" i="1" s="1"/>
  <c r="Q46" i="1" l="1"/>
  <c r="R46" i="1" s="1"/>
  <c r="L46" i="1"/>
  <c r="K46" i="1"/>
  <c r="L125" i="1"/>
  <c r="I379" i="1" l="1"/>
  <c r="I378" i="1"/>
  <c r="O379" i="1"/>
  <c r="O378" i="1"/>
  <c r="O103" i="1"/>
  <c r="K66" i="1"/>
  <c r="L66" i="1"/>
  <c r="R225" i="1" l="1"/>
  <c r="R226" i="1" s="1"/>
  <c r="I400" i="1"/>
  <c r="O400" i="1"/>
  <c r="O401" i="1" s="1"/>
  <c r="Q66" i="1"/>
  <c r="R66" i="1" s="1"/>
  <c r="I401" i="1" l="1"/>
  <c r="R301" i="1"/>
  <c r="I65" i="1"/>
  <c r="I63" i="1"/>
  <c r="J324" i="1"/>
  <c r="J325" i="1" s="1"/>
  <c r="M324" i="1"/>
  <c r="M325" i="1" s="1"/>
  <c r="N324" i="1"/>
  <c r="N325" i="1" s="1"/>
  <c r="P324" i="1"/>
  <c r="P325" i="1" s="1"/>
  <c r="O272" i="1"/>
  <c r="O282" i="1" s="1"/>
  <c r="O283" i="1" s="1"/>
  <c r="I272" i="1"/>
  <c r="I282" i="1" s="1"/>
  <c r="J258" i="1"/>
  <c r="J259" i="1" s="1"/>
  <c r="M258" i="1"/>
  <c r="M259" i="1" s="1"/>
  <c r="N258" i="1"/>
  <c r="N259" i="1" s="1"/>
  <c r="P258" i="1"/>
  <c r="P259" i="1" s="1"/>
  <c r="O258" i="1"/>
  <c r="O259" i="1" s="1"/>
  <c r="J225" i="1"/>
  <c r="J226" i="1" s="1"/>
  <c r="M225" i="1"/>
  <c r="M226" i="1" s="1"/>
  <c r="N225" i="1"/>
  <c r="N226" i="1" s="1"/>
  <c r="P225" i="1"/>
  <c r="P226" i="1" s="1"/>
  <c r="J178" i="1"/>
  <c r="J179" i="1" s="1"/>
  <c r="M178" i="1"/>
  <c r="M179" i="1" s="1"/>
  <c r="N178" i="1"/>
  <c r="N179" i="1" s="1"/>
  <c r="P178" i="1"/>
  <c r="P179" i="1" s="1"/>
  <c r="O171" i="1"/>
  <c r="I171" i="1"/>
  <c r="J130" i="1"/>
  <c r="J131" i="1" s="1"/>
  <c r="M130" i="1"/>
  <c r="M131" i="1" s="1"/>
  <c r="N130" i="1"/>
  <c r="N131" i="1" s="1"/>
  <c r="P130" i="1"/>
  <c r="P131" i="1" s="1"/>
  <c r="O127" i="1"/>
  <c r="I127" i="1"/>
  <c r="O125" i="1"/>
  <c r="I125" i="1"/>
  <c r="K127" i="1"/>
  <c r="L127" i="1"/>
  <c r="O124" i="1"/>
  <c r="I124" i="1"/>
  <c r="J108" i="1"/>
  <c r="J109" i="1" s="1"/>
  <c r="M108" i="1"/>
  <c r="M109" i="1" s="1"/>
  <c r="N108" i="1"/>
  <c r="N109" i="1" s="1"/>
  <c r="P108" i="1"/>
  <c r="P109" i="1" s="1"/>
  <c r="I102" i="1"/>
  <c r="O102" i="1"/>
  <c r="K102" i="1"/>
  <c r="L102" i="1"/>
  <c r="O101" i="1"/>
  <c r="I101" i="1"/>
  <c r="O84" i="1"/>
  <c r="I84" i="1"/>
  <c r="J50" i="1"/>
  <c r="J51" i="1" s="1"/>
  <c r="M50" i="1"/>
  <c r="M51" i="1" s="1"/>
  <c r="N50" i="1"/>
  <c r="N51" i="1" s="1"/>
  <c r="P50" i="1"/>
  <c r="P51" i="1" s="1"/>
  <c r="O48" i="1"/>
  <c r="I48" i="1"/>
  <c r="J33" i="1"/>
  <c r="J34" i="1" s="1"/>
  <c r="M33" i="1"/>
  <c r="M34" i="1" s="1"/>
  <c r="N33" i="1"/>
  <c r="N34" i="1" s="1"/>
  <c r="P33" i="1"/>
  <c r="P34" i="1" s="1"/>
  <c r="O30" i="1"/>
  <c r="L30" i="1"/>
  <c r="K30" i="1"/>
  <c r="I30" i="1"/>
  <c r="O29" i="1"/>
  <c r="L29" i="1"/>
  <c r="K29" i="1"/>
  <c r="I29" i="1"/>
  <c r="O28" i="1"/>
  <c r="L28" i="1"/>
  <c r="K28" i="1"/>
  <c r="I28" i="1"/>
  <c r="O27" i="1"/>
  <c r="L27" i="1"/>
  <c r="K27" i="1"/>
  <c r="I27" i="1"/>
  <c r="O26" i="1"/>
  <c r="L26" i="1"/>
  <c r="K26" i="1"/>
  <c r="I26" i="1"/>
  <c r="O25" i="1"/>
  <c r="L25" i="1"/>
  <c r="K25" i="1"/>
  <c r="I25" i="1"/>
  <c r="I24" i="1"/>
  <c r="O24" i="1"/>
  <c r="J12" i="1"/>
  <c r="M12" i="1"/>
  <c r="N12" i="1"/>
  <c r="P12" i="1"/>
  <c r="P13" i="1" s="1"/>
  <c r="O10" i="1"/>
  <c r="I10" i="1"/>
  <c r="O9" i="1"/>
  <c r="I9" i="1"/>
  <c r="I283" i="1" l="1"/>
  <c r="I71" i="1"/>
  <c r="O225" i="1"/>
  <c r="O226" i="1" s="1"/>
  <c r="Q101" i="1"/>
  <c r="R101" i="1" s="1"/>
  <c r="I12" i="1"/>
  <c r="O324" i="1"/>
  <c r="O325" i="1" s="1"/>
  <c r="Q272" i="1"/>
  <c r="Q84" i="1"/>
  <c r="O50" i="1"/>
  <c r="O51" i="1" s="1"/>
  <c r="O12" i="1"/>
  <c r="O13" i="1" s="1"/>
  <c r="Q24" i="1"/>
  <c r="O33" i="1"/>
  <c r="O34" i="1" s="1"/>
  <c r="Q124" i="1"/>
  <c r="Q125" i="1"/>
  <c r="R125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O108" i="1"/>
  <c r="O109" i="1" s="1"/>
  <c r="Q102" i="1"/>
  <c r="R102" i="1" s="1"/>
  <c r="O178" i="1"/>
  <c r="O179" i="1" s="1"/>
  <c r="I50" i="1"/>
  <c r="O130" i="1"/>
  <c r="O131" i="1" s="1"/>
  <c r="I33" i="1"/>
  <c r="Q127" i="1"/>
  <c r="R127" i="1" s="1"/>
  <c r="K84" i="1"/>
  <c r="K48" i="1"/>
  <c r="K9" i="1"/>
  <c r="K24" i="1"/>
  <c r="Q31" i="1"/>
  <c r="R31" i="1" s="1"/>
  <c r="L31" i="1"/>
  <c r="K31" i="1"/>
  <c r="Q103" i="1"/>
  <c r="R103" i="1" s="1"/>
  <c r="L103" i="1"/>
  <c r="K103" i="1"/>
  <c r="Q379" i="1"/>
  <c r="Q378" i="1"/>
  <c r="R378" i="1" s="1"/>
  <c r="I34" i="1" l="1"/>
  <c r="I72" i="1"/>
  <c r="I51" i="1"/>
  <c r="I13" i="1"/>
  <c r="R272" i="1"/>
  <c r="R282" i="1" s="1"/>
  <c r="R283" i="1" s="1"/>
  <c r="Q282" i="1"/>
  <c r="Q283" i="1" s="1"/>
  <c r="R379" i="1"/>
  <c r="K33" i="1"/>
  <c r="K34" i="1" s="1"/>
  <c r="R108" i="1"/>
  <c r="R109" i="1" s="1"/>
  <c r="Q33" i="1"/>
  <c r="Q34" i="1" s="1"/>
  <c r="Q130" i="1"/>
  <c r="Q131" i="1" s="1"/>
  <c r="Q108" i="1"/>
  <c r="Q109" i="1" s="1"/>
  <c r="O63" i="1" l="1"/>
  <c r="O71" i="1" s="1"/>
  <c r="O72" i="1" s="1"/>
  <c r="K225" i="1"/>
  <c r="K226" i="1" s="1"/>
  <c r="L225" i="1"/>
  <c r="L226" i="1" s="1"/>
  <c r="R24" i="1"/>
  <c r="R33" i="1" s="1"/>
  <c r="R34" i="1" s="1"/>
  <c r="R84" i="1"/>
  <c r="R88" i="1" s="1"/>
  <c r="R89" i="1" s="1"/>
  <c r="R124" i="1"/>
  <c r="R130" i="1" s="1"/>
  <c r="R131" i="1" s="1"/>
  <c r="R354" i="1"/>
  <c r="R355" i="1" s="1"/>
  <c r="L64" i="1"/>
  <c r="K64" i="1"/>
  <c r="Q65" i="1" l="1"/>
  <c r="R65" i="1" s="1"/>
  <c r="Q63" i="1"/>
  <c r="Q64" i="1"/>
  <c r="R64" i="1" s="1"/>
  <c r="R63" i="1" l="1"/>
  <c r="R71" i="1" s="1"/>
  <c r="R72" i="1" s="1"/>
  <c r="Q71" i="1"/>
  <c r="Q72" i="1" s="1"/>
  <c r="L63" i="1"/>
  <c r="L65" i="1"/>
  <c r="K63" i="1"/>
  <c r="K65" i="1"/>
  <c r="K71" i="1" l="1"/>
  <c r="K72" i="1" s="1"/>
  <c r="L71" i="1"/>
  <c r="L72" i="1" s="1"/>
  <c r="J426" i="1"/>
  <c r="M426" i="1"/>
  <c r="N426" i="1"/>
  <c r="P426" i="1"/>
  <c r="J354" i="1"/>
  <c r="J355" i="1" s="1"/>
  <c r="M354" i="1"/>
  <c r="M355" i="1" s="1"/>
  <c r="N354" i="1"/>
  <c r="N355" i="1" s="1"/>
  <c r="O354" i="1"/>
  <c r="O355" i="1" s="1"/>
  <c r="P354" i="1"/>
  <c r="P355" i="1" s="1"/>
  <c r="Q354" i="1"/>
  <c r="Q355" i="1" s="1"/>
  <c r="I354" i="1"/>
  <c r="J339" i="1"/>
  <c r="M339" i="1"/>
  <c r="N339" i="1"/>
  <c r="P339" i="1"/>
  <c r="I339" i="1"/>
  <c r="J300" i="1"/>
  <c r="J301" i="1" s="1"/>
  <c r="N300" i="1"/>
  <c r="N301" i="1" s="1"/>
  <c r="P300" i="1"/>
  <c r="P301" i="1" s="1"/>
  <c r="J241" i="1"/>
  <c r="J242" i="1" s="1"/>
  <c r="M241" i="1"/>
  <c r="M242" i="1" s="1"/>
  <c r="N241" i="1"/>
  <c r="N242" i="1" s="1"/>
  <c r="P241" i="1"/>
  <c r="P242" i="1" s="1"/>
  <c r="I241" i="1"/>
  <c r="J88" i="1"/>
  <c r="J89" i="1" s="1"/>
  <c r="M88" i="1"/>
  <c r="M89" i="1" s="1"/>
  <c r="N88" i="1"/>
  <c r="N89" i="1" s="1"/>
  <c r="P88" i="1"/>
  <c r="P89" i="1" s="1"/>
  <c r="K283" i="1"/>
  <c r="I242" i="1" l="1"/>
  <c r="I355" i="1"/>
  <c r="M340" i="1"/>
  <c r="I340" i="1"/>
  <c r="P340" i="1"/>
  <c r="P359" i="1" s="1"/>
  <c r="N340" i="1"/>
  <c r="N359" i="1" s="1"/>
  <c r="J340" i="1"/>
  <c r="J359" i="1" s="1"/>
  <c r="P427" i="1"/>
  <c r="M427" i="1"/>
  <c r="N427" i="1"/>
  <c r="J427" i="1"/>
  <c r="K400" i="1"/>
  <c r="K401" i="1" s="1"/>
  <c r="O426" i="1"/>
  <c r="O427" i="1" l="1"/>
  <c r="Q372" i="1"/>
  <c r="Q400" i="1" s="1"/>
  <c r="Q401" i="1" s="1"/>
  <c r="K324" i="1"/>
  <c r="K325" i="1" s="1"/>
  <c r="L283" i="1"/>
  <c r="K50" i="1"/>
  <c r="K51" i="1" s="1"/>
  <c r="R372" i="1" l="1"/>
  <c r="R400" i="1" s="1"/>
  <c r="R401" i="1" s="1"/>
  <c r="O339" i="1"/>
  <c r="M300" i="1"/>
  <c r="M301" i="1" l="1"/>
  <c r="M359" i="1" s="1"/>
  <c r="O340" i="1"/>
  <c r="O300" i="1"/>
  <c r="O301" i="1" s="1"/>
  <c r="O241" i="1"/>
  <c r="O242" i="1" s="1"/>
  <c r="Q171" i="1"/>
  <c r="R171" i="1" s="1"/>
  <c r="I130" i="1"/>
  <c r="I131" i="1" l="1"/>
  <c r="R258" i="1"/>
  <c r="R259" i="1" s="1"/>
  <c r="Q258" i="1"/>
  <c r="Q259" i="1" s="1"/>
  <c r="O88" i="1"/>
  <c r="O89" i="1" s="1"/>
  <c r="O359" i="1" s="1"/>
  <c r="L9" i="1"/>
  <c r="K354" i="1" l="1"/>
  <c r="K355" i="1" s="1"/>
  <c r="L354" i="1"/>
  <c r="L355" i="1" s="1"/>
  <c r="K426" i="1"/>
  <c r="K339" i="1"/>
  <c r="K301" i="1"/>
  <c r="K258" i="1"/>
  <c r="K259" i="1" s="1"/>
  <c r="K241" i="1"/>
  <c r="K242" i="1" s="1"/>
  <c r="K171" i="1"/>
  <c r="K178" i="1" s="1"/>
  <c r="K179" i="1" s="1"/>
  <c r="K88" i="1"/>
  <c r="K89" i="1" s="1"/>
  <c r="K10" i="1"/>
  <c r="K12" i="1" s="1"/>
  <c r="K124" i="1"/>
  <c r="K130" i="1" s="1"/>
  <c r="K131" i="1" s="1"/>
  <c r="K101" i="1"/>
  <c r="K108" i="1" s="1"/>
  <c r="K109" i="1" s="1"/>
  <c r="K340" i="1" l="1"/>
  <c r="K359" i="1" s="1"/>
  <c r="K427" i="1"/>
  <c r="L400" i="1"/>
  <c r="L401" i="1" s="1"/>
  <c r="L171" i="1" l="1"/>
  <c r="L178" i="1" s="1"/>
  <c r="L179" i="1" s="1"/>
  <c r="L426" i="1" l="1"/>
  <c r="L339" i="1"/>
  <c r="L324" i="1"/>
  <c r="L325" i="1" s="1"/>
  <c r="L258" i="1"/>
  <c r="L259" i="1" s="1"/>
  <c r="I258" i="1"/>
  <c r="L124" i="1"/>
  <c r="L130" i="1" s="1"/>
  <c r="L131" i="1" s="1"/>
  <c r="L101" i="1"/>
  <c r="L108" i="1" s="1"/>
  <c r="L109" i="1" s="1"/>
  <c r="I88" i="1"/>
  <c r="L10" i="1"/>
  <c r="L12" i="1" s="1"/>
  <c r="I89" i="1" l="1"/>
  <c r="I259" i="1"/>
  <c r="L340" i="1"/>
  <c r="L427" i="1"/>
  <c r="Q178" i="1"/>
  <c r="Q179" i="1" s="1"/>
  <c r="I108" i="1"/>
  <c r="I225" i="1"/>
  <c r="L241" i="1"/>
  <c r="L242" i="1" s="1"/>
  <c r="I178" i="1"/>
  <c r="L301" i="1"/>
  <c r="L84" i="1"/>
  <c r="L88" i="1" s="1"/>
  <c r="L89" i="1" s="1"/>
  <c r="I109" i="1" l="1"/>
  <c r="I226" i="1"/>
  <c r="I179" i="1"/>
  <c r="I301" i="1"/>
  <c r="I359" i="1" s="1"/>
  <c r="R426" i="1"/>
  <c r="R324" i="1"/>
  <c r="R325" i="1" s="1"/>
  <c r="Q324" i="1"/>
  <c r="Q325" i="1" s="1"/>
  <c r="Q339" i="1"/>
  <c r="R339" i="1"/>
  <c r="Q426" i="1"/>
  <c r="L48" i="1"/>
  <c r="L50" i="1" s="1"/>
  <c r="L51" i="1" s="1"/>
  <c r="L24" i="1"/>
  <c r="L33" i="1" s="1"/>
  <c r="L34" i="1" s="1"/>
  <c r="Q10" i="1"/>
  <c r="L359" i="1" l="1"/>
  <c r="R340" i="1"/>
  <c r="Q340" i="1"/>
  <c r="R427" i="1"/>
  <c r="Q427" i="1"/>
  <c r="Q225" i="1"/>
  <c r="Q226" i="1" s="1"/>
  <c r="Q48" i="1"/>
  <c r="R48" i="1" s="1"/>
  <c r="R50" i="1" s="1"/>
  <c r="R51" i="1" s="1"/>
  <c r="Q50" i="1" l="1"/>
  <c r="Q51" i="1" s="1"/>
  <c r="Q88" i="1"/>
  <c r="Q89" i="1" s="1"/>
  <c r="Q241" i="1"/>
  <c r="Q242" i="1" s="1"/>
  <c r="R241" i="1"/>
  <c r="Q300" i="1"/>
  <c r="R242" i="1" l="1"/>
  <c r="Q301" i="1"/>
  <c r="Q9" i="1"/>
  <c r="R9" i="1" l="1"/>
  <c r="R12" i="1" s="1"/>
  <c r="Q12" i="1"/>
  <c r="R13" i="1" l="1"/>
  <c r="Q13" i="1"/>
  <c r="Q359" i="1" s="1"/>
  <c r="R178" i="1" l="1"/>
  <c r="R179" i="1" s="1"/>
  <c r="R359" i="1" s="1"/>
</calcChain>
</file>

<file path=xl/sharedStrings.xml><?xml version="1.0" encoding="utf-8"?>
<sst xmlns="http://schemas.openxmlformats.org/spreadsheetml/2006/main" count="1260" uniqueCount="551">
  <si>
    <t>PLANTILLA DE PERSONAL</t>
  </si>
  <si>
    <t>UNIDAD RESPONSABLE:   01 PRESIDENCIA</t>
  </si>
  <si>
    <t>NOMBRE DEL EMPLEADO</t>
  </si>
  <si>
    <t xml:space="preserve">PUESTO </t>
  </si>
  <si>
    <t>PLAZA</t>
  </si>
  <si>
    <t>FECHA DE INGRESO</t>
  </si>
  <si>
    <t>SUELDO DIARIO</t>
  </si>
  <si>
    <t xml:space="preserve">SUELDO BASE </t>
  </si>
  <si>
    <t>COMPENSACIÓN</t>
  </si>
  <si>
    <t xml:space="preserve">AGUINALDO </t>
  </si>
  <si>
    <t>PRIMA VACACIONAL</t>
  </si>
  <si>
    <t xml:space="preserve">SUBSIDIO AL EMPLEO </t>
  </si>
  <si>
    <t>IMSS</t>
  </si>
  <si>
    <t xml:space="preserve">I. S. R. </t>
  </si>
  <si>
    <t>CUOTA SINDICAL</t>
  </si>
  <si>
    <t xml:space="preserve">SUELDO NETO </t>
  </si>
  <si>
    <t>C</t>
  </si>
  <si>
    <t>B</t>
  </si>
  <si>
    <t>TOTAL MENSUAL</t>
  </si>
  <si>
    <t>PLAZA:</t>
  </si>
  <si>
    <t>( B ) BASE</t>
  </si>
  <si>
    <t>( C ) CONFIANZA</t>
  </si>
  <si>
    <t>( E ) EVENTUAL</t>
  </si>
  <si>
    <t>( H ) HONORARIOS ASIMILABLES A SALARIOS</t>
  </si>
  <si>
    <t xml:space="preserve">SUELDO BASE/DIETAS </t>
  </si>
  <si>
    <t>REGIDOR</t>
  </si>
  <si>
    <t>VETERINARIO</t>
  </si>
  <si>
    <t>SUELDO BASE/DIETAS</t>
  </si>
  <si>
    <t>SÍNDICO MUNICIPAL</t>
  </si>
  <si>
    <t>UNIDAD RESPONSABLE:   08 OFICIALIA MAYOR</t>
  </si>
  <si>
    <t>OFICIAL MAYOR</t>
  </si>
  <si>
    <t>20</t>
  </si>
  <si>
    <t>MUNICIPIO DE ANGANGUEO MICHOACÁN</t>
  </si>
  <si>
    <t>ALEJANDRA ARANA RAMIREZ</t>
  </si>
  <si>
    <t>SECRETARIO DEL AYUNTAMIENTO</t>
  </si>
  <si>
    <t>S</t>
  </si>
  <si>
    <t>ALDO SOTO GUZMAN</t>
  </si>
  <si>
    <t>AUXILIAR CONTABLE</t>
  </si>
  <si>
    <t>CONTADOR</t>
  </si>
  <si>
    <t>CAJERO</t>
  </si>
  <si>
    <t>DIRECTOR DE OBRAS PÚBLICAS</t>
  </si>
  <si>
    <t>ANTONIO FRANCISCO VÁLDEZ</t>
  </si>
  <si>
    <t>ERIKA ROSALIA MEJIA TEJAS</t>
  </si>
  <si>
    <t>MENSAJERO</t>
  </si>
  <si>
    <t>ALMA PATRICIA RIVERA ARANA</t>
  </si>
  <si>
    <t>JORGE MONROY SOTO</t>
  </si>
  <si>
    <t>MARIA DOLORES HERNANDEZ REYES</t>
  </si>
  <si>
    <t>JOSE GUADALUPE VARGAS DOMINGUEZ</t>
  </si>
  <si>
    <t>ENCARGADA DE BAÑOS PUBLICOS</t>
  </si>
  <si>
    <t>ENCARGADA BIBLIOTECA</t>
  </si>
  <si>
    <t>INSPECTOR DE VARIOS RAMOS</t>
  </si>
  <si>
    <t>BARRENDERO</t>
  </si>
  <si>
    <t>AYUDANTE GENERAL</t>
  </si>
  <si>
    <t>DIRECTOR DE DESARROLLO SOCIAL</t>
  </si>
  <si>
    <t>UNIDAD RESPONSABLE:  08 OFICIALIA MAYOR. SERVICIOS PUBLICOS</t>
  </si>
  <si>
    <t>DIRECTOR DE DESARROLLO RURAL</t>
  </si>
  <si>
    <t>DIRECTOR DE DEPORTE</t>
  </si>
  <si>
    <t>VIRGINIO REYES CASTULO</t>
  </si>
  <si>
    <t>MOISES HINOJOSA FIGUEROA</t>
  </si>
  <si>
    <t>RAFAEL SÁNCHEZ MEJIA</t>
  </si>
  <si>
    <t>RAFAEL DOMINGUEZ GARCÍA</t>
  </si>
  <si>
    <t>JOSÉ GUADALUPE REYES MONROY</t>
  </si>
  <si>
    <t>CLORADOR</t>
  </si>
  <si>
    <t>DIRECTOR DE AGUA POTABLE</t>
  </si>
  <si>
    <t>DIRECTOR COMUNICACION SOCIAL</t>
  </si>
  <si>
    <t>POLICIA MUNICIPAL</t>
  </si>
  <si>
    <t>UNIDAD RESPONSABLE:   03 REGIDURIA</t>
  </si>
  <si>
    <t>UNIDAD RESPONSABLE:  05 SECRETARIA</t>
  </si>
  <si>
    <t>UNIDAD RESPONSABLE:   04 TESORERIA</t>
  </si>
  <si>
    <t>UNIDAD RESPONSABLE:   02 SINDICATURA</t>
  </si>
  <si>
    <t>UNIDAD RESPONSABLE:   07 OBRAS PUBLICAS</t>
  </si>
  <si>
    <t>UNIDAD RESPONSABLE:   08 OFICIALIA MAYOR. AGUA POTABLE</t>
  </si>
  <si>
    <t>UNIDAD RESPONSABLE:   06 PLANEACION</t>
  </si>
  <si>
    <t>SUB DIRECTOR DE OBRAS PUBLICAS</t>
  </si>
  <si>
    <t>ENCARGADO AREA DEL MIGRANTE</t>
  </si>
  <si>
    <t>ANDREA RAMIREZ RAMIREZ</t>
  </si>
  <si>
    <t>AUXILIAR DE PROTECCION CIVIL</t>
  </si>
  <si>
    <t>ENCARGADO DE TRANSPARENCIA</t>
  </si>
  <si>
    <t>DIRECTOR DE PLANEACION</t>
  </si>
  <si>
    <t>UNIDAD RESPONSABLE:   09 DESARROLLO RURAL</t>
  </si>
  <si>
    <t>UNIDAD RESPONSABLE: 14 COMUNICACIÓN SOCIAL</t>
  </si>
  <si>
    <t xml:space="preserve"> </t>
  </si>
  <si>
    <t>DANIEL ALEJANDRO MORA GARCIA</t>
  </si>
  <si>
    <t>TESORERO MUNICIPAL</t>
  </si>
  <si>
    <t>AUXILIAR DE OBRAS DE OBRAS PUBLICAS</t>
  </si>
  <si>
    <t>JARDINERO</t>
  </si>
  <si>
    <t>AUXILIAR ADMINISTRATIVO</t>
  </si>
  <si>
    <t>GABRIEL TELLEZ MARTINEZ</t>
  </si>
  <si>
    <t>EDDY YARIN PERALTA MONTES</t>
  </si>
  <si>
    <t>JOSE ARMANDO PERALTA ANGELES</t>
  </si>
  <si>
    <t>DIRECTOR DE SEGURIDAD PUBLICA</t>
  </si>
  <si>
    <t>MARÍA HILDA DOMÍNGUEZ GARCÍA</t>
  </si>
  <si>
    <t>GABRIEL DOMINGUEZ ALCALA</t>
  </si>
  <si>
    <t>ROBERTO NAVA CRUZ</t>
  </si>
  <si>
    <t>MARTIN MORALES HERNANDEZ</t>
  </si>
  <si>
    <t>GUILLERMO RODRIGUEZ MARTINEZ</t>
  </si>
  <si>
    <t>ALONDRA MORA LOPEZ</t>
  </si>
  <si>
    <t>OCTAVIO MENDOZA LEGORRETA</t>
  </si>
  <si>
    <t>ALEJANDRO MARTINEZ VAZQUEZ</t>
  </si>
  <si>
    <t>MARIA CECILIA TREJO MIRANDA</t>
  </si>
  <si>
    <t>MARCO ANTONIO VAZQUEZ FLORES</t>
  </si>
  <si>
    <t>RAUL MARTINEZ RAMIREZ</t>
  </si>
  <si>
    <t>NANCY TAPIA SEGUNDO</t>
  </si>
  <si>
    <t>CONSTANTINO MORENO MARTINEZ</t>
  </si>
  <si>
    <t>MARIA CRISTINA PADILLA SALAZAR</t>
  </si>
  <si>
    <t>EFRAIN ORDAZ OROZCO</t>
  </si>
  <si>
    <t>MARIELA VIEYRA GARFIAS</t>
  </si>
  <si>
    <t>JUAN CELSO CARMONA SANCHEZ</t>
  </si>
  <si>
    <t>CINDY TREJO MARTINEZ</t>
  </si>
  <si>
    <t>JESUS MANUEL MARTINEZ VAZQUEZ</t>
  </si>
  <si>
    <t>JOSE MANUEL GARCIA CRUZ</t>
  </si>
  <si>
    <t>SERGIO JAVIER OROZCO GONZALEZ</t>
  </si>
  <si>
    <t>FLORENTINO JIMENEZ SANTIAGO</t>
  </si>
  <si>
    <t>ALBINO MORALES RODRIGUEZ</t>
  </si>
  <si>
    <t>GERARDO GUTIERREZ RAMIREZ</t>
  </si>
  <si>
    <t>SAMANTA REYES SILVA</t>
  </si>
  <si>
    <t>ANDREA URBINA GARCIA</t>
  </si>
  <si>
    <t>JUAN LUIS MIRANDA HINOJOSA</t>
  </si>
  <si>
    <t>JUAN JOSE DOMINGUEZ CRUZ</t>
  </si>
  <si>
    <t>NUBIA MARTHA TELLEZ FLORES</t>
  </si>
  <si>
    <t>JUAN JOSE VALDEZ COLIN</t>
  </si>
  <si>
    <t>JOSE RAFAEL GARCIA COLIN</t>
  </si>
  <si>
    <t>FONTANERO</t>
  </si>
  <si>
    <t>ILIANA SANDOVAL GARDUÑO</t>
  </si>
  <si>
    <t>MATILDE REYES MONTOYA</t>
  </si>
  <si>
    <t>NANCY GISEL VELAZQUEZ PERALTA</t>
  </si>
  <si>
    <t>GABRIELA TREJO RAMIREZ</t>
  </si>
  <si>
    <t>GUSTAVO TREJO REYES</t>
  </si>
  <si>
    <t>SALOMON YAÑEZ CONTRERAS</t>
  </si>
  <si>
    <t>LUIS ENRIQUE GUZMAN MENDOZA</t>
  </si>
  <si>
    <t>JOSE ABEL CRUZ PEREZ</t>
  </si>
  <si>
    <t>AIDA ANGELES RAMIREZ</t>
  </si>
  <si>
    <t>ADRIAN PACHECO HERNANDEZ</t>
  </si>
  <si>
    <t>ROCIO MIRANDA SANCHEZ</t>
  </si>
  <si>
    <t>VICTOR HUGO MORA ORTEGA</t>
  </si>
  <si>
    <t>ARTEMIO SANCHEZ LUNA</t>
  </si>
  <si>
    <t>ALDO VIEYRA TORRES</t>
  </si>
  <si>
    <t>RAFAEL SEGUNDO MARTINEZ</t>
  </si>
  <si>
    <t>SALUD PAOLA FLORES REYES</t>
  </si>
  <si>
    <t>OMAR ROSAS MEJIA</t>
  </si>
  <si>
    <t>SUELDO QUINCENAL</t>
  </si>
  <si>
    <t>PRISCILA MARTINEZ MARTINEZ</t>
  </si>
  <si>
    <t>MARIA MONSERRAT MEJIA ROSAS</t>
  </si>
  <si>
    <t>MARBELLA TELLO MONDRAGON</t>
  </si>
  <si>
    <t>ASESOR DE OBRAS</t>
  </si>
  <si>
    <t>RUBEN JUAREZ HERNANDEZ</t>
  </si>
  <si>
    <t>CHOFER</t>
  </si>
  <si>
    <t>MARISOL SALAZAR PEREZ</t>
  </si>
  <si>
    <t>ADRIAN SALAZAR CRUZ</t>
  </si>
  <si>
    <t>PABLO GUTIERREZ SANCHEZ</t>
  </si>
  <si>
    <t>LIZBETH ALCANTAR MARTINEZ</t>
  </si>
  <si>
    <t xml:space="preserve">AUXILIAR </t>
  </si>
  <si>
    <t>AUXILIAR</t>
  </si>
  <si>
    <t>ABEL CEDILLO MERCADO</t>
  </si>
  <si>
    <t>DIRECTOR DE PROTECCION CIVIL</t>
  </si>
  <si>
    <t>ENCARGADO DE CONTRALORIA</t>
  </si>
  <si>
    <t>IRMA DOMINGUEZ GARCIA</t>
  </si>
  <si>
    <t>GERARDO BUENO SAMANO</t>
  </si>
  <si>
    <t xml:space="preserve">ASESOR DE PRESIDENCIA </t>
  </si>
  <si>
    <t>RUBEN JESUS DIAZ SIRA</t>
  </si>
  <si>
    <t>JAVIER PACHECO VAZQUEZ</t>
  </si>
  <si>
    <t>JOSE APOLONIO ROMERO REYES</t>
  </si>
  <si>
    <t>JOSE ALONSO RIVERA MORALES</t>
  </si>
  <si>
    <t>OCTAVIO REYES DIAZ</t>
  </si>
  <si>
    <t>JUANA PEREZ CONTRERAS</t>
  </si>
  <si>
    <t>RODRIGO HERNANDEZ MIRANDA</t>
  </si>
  <si>
    <t>DANIELA DOMINGUEZ HINOJOSA</t>
  </si>
  <si>
    <t>MARGARITA BERENISE VAZQUEZ CRUZ</t>
  </si>
  <si>
    <t>MARIA DEL SOCORRO CUEVAS MORALES</t>
  </si>
  <si>
    <t>HECTOR ERNESTO VAZQUEZ GARCIA</t>
  </si>
  <si>
    <t xml:space="preserve">FONTANERO </t>
  </si>
  <si>
    <t>MARCO ANTONIO VAZQUEZ</t>
  </si>
  <si>
    <t xml:space="preserve">AUXILIAR ADMINISTRATIVO  DE SECRETARIA </t>
  </si>
  <si>
    <t>AUXILIAR DE OBRAS DE OBRAS PUBLICAS  "A"</t>
  </si>
  <si>
    <t>PRESIDENTA MUNICIPAL</t>
  </si>
  <si>
    <t>RECOLECTOR DE BASURA</t>
  </si>
  <si>
    <t>COMANDANTE</t>
  </si>
  <si>
    <t>VACANTE</t>
  </si>
  <si>
    <t>RFC</t>
  </si>
  <si>
    <t>CURP</t>
  </si>
  <si>
    <t>DOGH621005LL6</t>
  </si>
  <si>
    <t>DOGH621005MMNMRL00</t>
  </si>
  <si>
    <t>TERG821020GK2</t>
  </si>
  <si>
    <t>TERG821020HMNRYS09</t>
  </si>
  <si>
    <t>MAMP841013L52</t>
  </si>
  <si>
    <t>MAMP841013MMNRRR05</t>
  </si>
  <si>
    <t>MAVA850717AB3</t>
  </si>
  <si>
    <t>MAVA850717HMNRZL00</t>
  </si>
  <si>
    <t>TEMC620710RI9</t>
  </si>
  <si>
    <t>TEMC620710MMNRRC07</t>
  </si>
  <si>
    <t>VAFM830714HY9</t>
  </si>
  <si>
    <t>VAFM830714HMNZLR04</t>
  </si>
  <si>
    <t>MARR511025F20</t>
  </si>
  <si>
    <t>MARR511025HMNRML07</t>
  </si>
  <si>
    <t>TASN820127P90</t>
  </si>
  <si>
    <t>TASN820127MMNPGN08</t>
  </si>
  <si>
    <t>MOMC820525EL8</t>
  </si>
  <si>
    <t>MOMC820525HMNRRN00</t>
  </si>
  <si>
    <t>PASC901214G28</t>
  </si>
  <si>
    <t>PASC901214MMNDLR01</t>
  </si>
  <si>
    <t>AARA700107FG4</t>
  </si>
  <si>
    <t>AARA700107MMNRML01</t>
  </si>
  <si>
    <t>MERM940725HX1</t>
  </si>
  <si>
    <t>MERM940725MMNJSN00</t>
  </si>
  <si>
    <t>VACJ800301UK4</t>
  </si>
  <si>
    <t>VACJ800301HMNLLN07</t>
  </si>
  <si>
    <t>MIHJ62120118A</t>
  </si>
  <si>
    <t>MIHJ621201HMNRNN09</t>
  </si>
  <si>
    <t>DOCJ810218CW1</t>
  </si>
  <si>
    <t>DOCJ810218HMNMRN06</t>
  </si>
  <si>
    <t>TEFN8002249E4</t>
  </si>
  <si>
    <t>TEFN800224MDFLLB08</t>
  </si>
  <si>
    <t>SOGA950910K49</t>
  </si>
  <si>
    <t>SOGA950910HMCTZL08</t>
  </si>
  <si>
    <t>JONATHAN HERNANDEZ SALAZAR</t>
  </si>
  <si>
    <t>HESJ000828177</t>
  </si>
  <si>
    <t>HESJ000828HMNRLNA6</t>
  </si>
  <si>
    <t>ASESOR</t>
  </si>
  <si>
    <t>GURG851102P14</t>
  </si>
  <si>
    <t>GURG851102HMNTMR09</t>
  </si>
  <si>
    <t>RESS9901273B6</t>
  </si>
  <si>
    <t>RESS990127MMNYLM09</t>
  </si>
  <si>
    <t>UIGA981124TD4</t>
  </si>
  <si>
    <t>UIGA981124MMNRRN02</t>
  </si>
  <si>
    <t>OAOE811012490</t>
  </si>
  <si>
    <t>OAOE811012HMNRRF00</t>
  </si>
  <si>
    <t>TEMM870708HF6</t>
  </si>
  <si>
    <t>TEMM870708MMNLNR09</t>
  </si>
  <si>
    <t>VIGM970214N68</t>
  </si>
  <si>
    <t>VIGM970214MMNYRR08</t>
  </si>
  <si>
    <t>MOZN800410RK4</t>
  </si>
  <si>
    <t>MOZN800410HGTRMM00</t>
  </si>
  <si>
    <t>NAUM MORA ZAMUDIO</t>
  </si>
  <si>
    <t xml:space="preserve">ASESORA </t>
  </si>
  <si>
    <t>CASJ770101EQ2</t>
  </si>
  <si>
    <t>CASJ770101HMNRNN07</t>
  </si>
  <si>
    <t>MOGD920309RH5</t>
  </si>
  <si>
    <t>MOGD920309HMNRRN03</t>
  </si>
  <si>
    <t>MAVJ000226JN3</t>
  </si>
  <si>
    <t>MAVJ000226HMNRZSA2</t>
  </si>
  <si>
    <t>BUSG820331T95</t>
  </si>
  <si>
    <t>BUSG820331HMCNMR02</t>
  </si>
  <si>
    <t>TEMC891109U63</t>
  </si>
  <si>
    <t>TEMC891109MMNRRN08</t>
  </si>
  <si>
    <t>FAVA5106135F6</t>
  </si>
  <si>
    <t>FAVA510613HMCRLN07</t>
  </si>
  <si>
    <t>METE740718AZA</t>
  </si>
  <si>
    <t>METE740718MMNJJR04</t>
  </si>
  <si>
    <t>FORS950708NV9</t>
  </si>
  <si>
    <t>FORS950708MMNLYL06</t>
  </si>
  <si>
    <t>JISF6310161Z1</t>
  </si>
  <si>
    <t>JISF631016HDFMNL02</t>
  </si>
  <si>
    <t>MORA740701LB1</t>
  </si>
  <si>
    <t>MORA740701HMNRDL02</t>
  </si>
  <si>
    <t>GACM731205J9A</t>
  </si>
  <si>
    <t>GACM731205HMNRRN05</t>
  </si>
  <si>
    <t>AUXILIAR GENERAL OFICIALIA MAY</t>
  </si>
  <si>
    <t xml:space="preserve">AUXILIAR ADMINISTRATIVO </t>
  </si>
  <si>
    <t xml:space="preserve">AUXILIAR GENERAL </t>
  </si>
  <si>
    <t>REDO830918A53</t>
  </si>
  <si>
    <t>REDO830918HMNYZC00</t>
  </si>
  <si>
    <t>JONATHAN DANIEL RAMIREZ LUGO</t>
  </si>
  <si>
    <t>RALJ961210F24</t>
  </si>
  <si>
    <t>RALJ961210HMNMGN06</t>
  </si>
  <si>
    <t>DOHD000430JF1</t>
  </si>
  <si>
    <t>DOHD000430MMNMNNA1</t>
  </si>
  <si>
    <t>SAGI8609039P4</t>
  </si>
  <si>
    <t>SAGI860903MMNNRL08</t>
  </si>
  <si>
    <t>AAML010310EL8</t>
  </si>
  <si>
    <t>AAML010310MMNLRZA4</t>
  </si>
  <si>
    <t>CRUZ NANCY HERNANDEZ REYES</t>
  </si>
  <si>
    <t>MA EUGENIA RAMIREZ MARTINEZ</t>
  </si>
  <si>
    <t>SARA FRANCISCO ANGELES</t>
  </si>
  <si>
    <t>CUMS7303282G9</t>
  </si>
  <si>
    <t>CUMS730328MDFVRC03</t>
  </si>
  <si>
    <t>DOGI6102282R9</t>
  </si>
  <si>
    <t>DOGI610228MMNMRR00</t>
  </si>
  <si>
    <t>VACM961114HA0</t>
  </si>
  <si>
    <t>VACM961114MMNZRR05</t>
  </si>
  <si>
    <t>REMM750723RP1</t>
  </si>
  <si>
    <t>REMM750723MMNYNT04</t>
  </si>
  <si>
    <t>VEPN87010599A</t>
  </si>
  <si>
    <t>VEPN870105MMNLRN02</t>
  </si>
  <si>
    <t>TERG840102SR0</t>
  </si>
  <si>
    <t>TERG840102MMNRMB02</t>
  </si>
  <si>
    <t>HERC9403149EA</t>
  </si>
  <si>
    <t>HERC940314MMNRYR09</t>
  </si>
  <si>
    <t>RAME6606095U5</t>
  </si>
  <si>
    <t>RAME660609MMNMRG07</t>
  </si>
  <si>
    <t>FAAS7212204I9</t>
  </si>
  <si>
    <t>FASS721220MMCRNR09</t>
  </si>
  <si>
    <t>COORDINADORA DIF</t>
  </si>
  <si>
    <t>CEMA661216HMNDRB06</t>
  </si>
  <si>
    <t>CEMA661216E6A</t>
  </si>
  <si>
    <t>GACR841117HMNRLF03</t>
  </si>
  <si>
    <t>GACR841117877</t>
  </si>
  <si>
    <t>RIMA950218HMNVRL00</t>
  </si>
  <si>
    <t>RIMA950218C13</t>
  </si>
  <si>
    <t>JUCM910725HMNRSR00</t>
  </si>
  <si>
    <t>JUCM910725IZ7</t>
  </si>
  <si>
    <t>RORA880625HMNMYP00</t>
  </si>
  <si>
    <t>RORA8806257J9</t>
  </si>
  <si>
    <t>REMG770627HMNYND04</t>
  </si>
  <si>
    <t>REMG770627189</t>
  </si>
  <si>
    <t>DOGR730412HMNMRF01</t>
  </si>
  <si>
    <t>DOGR730412SX6</t>
  </si>
  <si>
    <t>SAMR680605HMNNJF03</t>
  </si>
  <si>
    <t>SAMR680605J47</t>
  </si>
  <si>
    <t>HIFM440120HMNNGS05</t>
  </si>
  <si>
    <t>HIFM440120IK1</t>
  </si>
  <si>
    <t>RECV590829HMNYSR07</t>
  </si>
  <si>
    <t>RECV590829D17</t>
  </si>
  <si>
    <t>DANIEL MOLINA MORALES</t>
  </si>
  <si>
    <t>MOMD810616652</t>
  </si>
  <si>
    <t>MOMD810616HMCLRN09</t>
  </si>
  <si>
    <t>NANCY VANESSA GARCIA REYES</t>
  </si>
  <si>
    <t>VANESSA YURITZI  HERNANDEZ SANCHEZ</t>
  </si>
  <si>
    <t>NESTOR SEGUNDO PACHECO</t>
  </si>
  <si>
    <t>RARA030110F66</t>
  </si>
  <si>
    <t>RARA030110MMNMMNA3</t>
  </si>
  <si>
    <t>YACS751226134</t>
  </si>
  <si>
    <t>YACS751226HMNXNL09</t>
  </si>
  <si>
    <t>TEMG73032484A</t>
  </si>
  <si>
    <t>TEMG730324HDFLRB07</t>
  </si>
  <si>
    <t>PEME8703269I2</t>
  </si>
  <si>
    <t>PEME870326HMNRND03</t>
  </si>
  <si>
    <t>PEAA020918PG2</t>
  </si>
  <si>
    <t>PEAA020918HMNRNRA3</t>
  </si>
  <si>
    <t>VAGH881226KC0</t>
  </si>
  <si>
    <t>VAGH881226HMNZRC03</t>
  </si>
  <si>
    <t>SEMR8401311I8</t>
  </si>
  <si>
    <t>SEMR840131HMNGRF09</t>
  </si>
  <si>
    <t>GUML930909HW9</t>
  </si>
  <si>
    <t>GULM930909HMCZNS02</t>
  </si>
  <si>
    <t>CUPA951121G1A</t>
  </si>
  <si>
    <t>CUPA951121HMNRRB05</t>
  </si>
  <si>
    <t>GARN870606TJ6</t>
  </si>
  <si>
    <t>GARN870606MMNRYN09</t>
  </si>
  <si>
    <t>AERA9605186N2</t>
  </si>
  <si>
    <t>AERA960518MMNNMD03</t>
  </si>
  <si>
    <t>PAHA950426Q74</t>
  </si>
  <si>
    <t>PAHA950426HMNCRD02</t>
  </si>
  <si>
    <t>MISR041106IM8</t>
  </si>
  <si>
    <t>MISR041106MMNRNCA9</t>
  </si>
  <si>
    <t>MOOV840104DV9</t>
  </si>
  <si>
    <t>MOOV840104HMNRRC02</t>
  </si>
  <si>
    <t>SALA8508129R5</t>
  </si>
  <si>
    <t>SALA850812HMNNNR00</t>
  </si>
  <si>
    <t>VITA801113GX7</t>
  </si>
  <si>
    <t>VITA801113HMNYRL08</t>
  </si>
  <si>
    <t>HESV031016D14</t>
  </si>
  <si>
    <t>HESV031016MMNRNNA8</t>
  </si>
  <si>
    <t>SEPN910511ER0</t>
  </si>
  <si>
    <t>SEPN910511HMNGCS03</t>
  </si>
  <si>
    <t>SUBDIRECTOR DE SEGURIDAD PUBLI</t>
  </si>
  <si>
    <t>ANGEL EDUARDO GARCIA ALCANTAR</t>
  </si>
  <si>
    <t>GAAA031107LF8</t>
  </si>
  <si>
    <t>GAAA031107HMNRLNA6</t>
  </si>
  <si>
    <t>ROMG791102H38</t>
  </si>
  <si>
    <t>ROMG791102HDFDRL06</t>
  </si>
  <si>
    <t>MELO930429KA9</t>
  </si>
  <si>
    <t>MELO930429HMNNGC02</t>
  </si>
  <si>
    <t>MOLA8501167E9</t>
  </si>
  <si>
    <t>MOLA850116MMNRPL06</t>
  </si>
  <si>
    <t>DISR980627C20</t>
  </si>
  <si>
    <t>DISR980627HNEZRB01</t>
  </si>
  <si>
    <t>PECJ840823KR4</t>
  </si>
  <si>
    <t>PECJ840823MMNRNN09</t>
  </si>
  <si>
    <t>PAVJ86021522A</t>
  </si>
  <si>
    <t>PAVJ860215HMNCZV00</t>
  </si>
  <si>
    <t>PARAMEDICO</t>
  </si>
  <si>
    <t>RIAA590405TI1</t>
  </si>
  <si>
    <t>RIAA590405MMNVRL01</t>
  </si>
  <si>
    <t>JORGE SALAZAR MARTINEZ</t>
  </si>
  <si>
    <t>SAMJ760423T87</t>
  </si>
  <si>
    <t>SAMJ760423HMNLRR05</t>
  </si>
  <si>
    <t>ADELA CRUZ JUAREZ</t>
  </si>
  <si>
    <t>CUJA500823RZ3</t>
  </si>
  <si>
    <t>CUJA500823MMNRRD09</t>
  </si>
  <si>
    <t>AGUSTINA HERNANDEZ HERNANDEZ</t>
  </si>
  <si>
    <t>HEHA5208158X0</t>
  </si>
  <si>
    <t>HEHA520815MHGRRG04</t>
  </si>
  <si>
    <t>JUAN HERNANDEZ RANGEL</t>
  </si>
  <si>
    <t>HERJ600102AK9</t>
  </si>
  <si>
    <t>HERJ600102HMNRNN01</t>
  </si>
  <si>
    <t>MIGUEL GARCIA MARQUEZ</t>
  </si>
  <si>
    <t>GAMM461115TR9</t>
  </si>
  <si>
    <t>GAMM461115HMNRRG00</t>
  </si>
  <si>
    <t>ROSA MARIA GARCIA LOPEZ</t>
  </si>
  <si>
    <t>GALR590310RQ5</t>
  </si>
  <si>
    <t>GALR590310MMNRPS07</t>
  </si>
  <si>
    <t>MARGARITO HERNANDEZ ALANIS</t>
  </si>
  <si>
    <t>HEAM490222K90</t>
  </si>
  <si>
    <t>HEAM490222HMNRLR07</t>
  </si>
  <si>
    <t>MOSJ460617G53</t>
  </si>
  <si>
    <t>MOSJ460617HMNNTR00</t>
  </si>
  <si>
    <t>J. ANGEL FLORES RAMIREZ</t>
  </si>
  <si>
    <t>FORJ540807NX4</t>
  </si>
  <si>
    <t>FORA540807HMNLMN04</t>
  </si>
  <si>
    <t>LEVI YAFTE CEDILLO DOMINGUEZ</t>
  </si>
  <si>
    <t>CEDL950915SI1</t>
  </si>
  <si>
    <t>CEDL950915HMNDMV01</t>
  </si>
  <si>
    <t>JOSE APOLINAR RAMIREZ REYES</t>
  </si>
  <si>
    <t>RARA8904277K7</t>
  </si>
  <si>
    <t>RARA890427HMNMYP06</t>
  </si>
  <si>
    <t>HERD910106F26</t>
  </si>
  <si>
    <t>HERD910106MMNRYL08</t>
  </si>
  <si>
    <t>VADG6907192U6</t>
  </si>
  <si>
    <t>VADG690719HMNRMD02</t>
  </si>
  <si>
    <t>PAULA CARRILLO ESQUIVEL</t>
  </si>
  <si>
    <t>CAEP591028851</t>
  </si>
  <si>
    <t>CAEP591028MMNRSL02</t>
  </si>
  <si>
    <t>SAPM021113QH2</t>
  </si>
  <si>
    <t>SAPM021113MMNLRRA7</t>
  </si>
  <si>
    <t>ROMO771202AV1</t>
  </si>
  <si>
    <t>ROMO771202HDFSJM09</t>
  </si>
  <si>
    <t>SACA0111047B5</t>
  </si>
  <si>
    <t>SACA011104HMNLRDA0</t>
  </si>
  <si>
    <t>NACR980703F11</t>
  </si>
  <si>
    <t>NACR980703HMNVRB07</t>
  </si>
  <si>
    <t>DOAG880712L59</t>
  </si>
  <si>
    <t>DOAG880712HMNMLB05</t>
  </si>
  <si>
    <t>HEMR911011T80</t>
  </si>
  <si>
    <t>HEMR911011HMNRRD05</t>
  </si>
  <si>
    <t>OOGS061008441</t>
  </si>
  <si>
    <t>OOGS061008HMNRNRA8</t>
  </si>
  <si>
    <t>GUSP671124CC7</t>
  </si>
  <si>
    <t>GUSP671124HMNTNB04</t>
  </si>
  <si>
    <t>MOHM930214FJ7</t>
  </si>
  <si>
    <t>MOHM930214HMCRRR06</t>
  </si>
  <si>
    <t>JUHR7004286Y6</t>
  </si>
  <si>
    <t>JUHR700428HMNRRB02</t>
  </si>
  <si>
    <t>CARLOS ALBERTO MIRANDA PEREA</t>
  </si>
  <si>
    <t>MIPC040826D49</t>
  </si>
  <si>
    <t>MIPC040826HMNRRRA4</t>
  </si>
  <si>
    <t>SALVADOR MARTINEZ MEJIA</t>
  </si>
  <si>
    <t>MAMS710928PX3</t>
  </si>
  <si>
    <t>MAMS710928HMNRJL08</t>
  </si>
  <si>
    <t>EMMANUEL GARCIA VIEYRA</t>
  </si>
  <si>
    <t>GAVE980918MB0</t>
  </si>
  <si>
    <t>GAVE980918HMNRYM05</t>
  </si>
  <si>
    <t>GUARDIA DEL RASTRO MUNICIPAL</t>
  </si>
  <si>
    <t>AYUDANTE DE LIMPIA</t>
  </si>
  <si>
    <t>AYUDANTE DE LIMPIA "F"</t>
  </si>
  <si>
    <t>AUXILIAR GENERAL</t>
  </si>
  <si>
    <t>TOTAL ANUAL</t>
  </si>
  <si>
    <t>DIRECTOR DE CULTURA</t>
  </si>
  <si>
    <t>UNIDAD RESPONSABLE:   12 CULTURA, TURISMO Y DEPORTE.</t>
  </si>
  <si>
    <t>UNIDAD RESPONSABLE:   11 CONTRALORIA Y TRANSPARENCIA.</t>
  </si>
  <si>
    <t>UNIDAD RESPONSABLE:   10  DESARROLLO SOCIAL</t>
  </si>
  <si>
    <t>UNIDAD RESPONSABLE:  13 DIF MUNICIPAL</t>
  </si>
  <si>
    <t>UNIDAD RESPONSABLE:  15 SEGURIDAD PUBLICA</t>
  </si>
  <si>
    <t>UNIDAD RESPONSABLE:  16  PROTECCION CIVIL</t>
  </si>
  <si>
    <t>EJERCICIO PRESUPUESTAL 2026</t>
  </si>
  <si>
    <t>KARINA SOTO RIVERA</t>
  </si>
  <si>
    <t>SORK070423BE5</t>
  </si>
  <si>
    <t>SORK070423MMNTVRA3</t>
  </si>
  <si>
    <t xml:space="preserve">ALEXANDER FRANCISCO LOMBERA GASPAR </t>
  </si>
  <si>
    <t>LOGA970801570</t>
  </si>
  <si>
    <t>LOGA970801HMNMSL00</t>
  </si>
  <si>
    <t>244</t>
  </si>
  <si>
    <t>JAZMINE SELENE MENDOZA BERNAL</t>
  </si>
  <si>
    <t>MEBJ791220H85</t>
  </si>
  <si>
    <t>MEBJ791220MMNNRZ03</t>
  </si>
  <si>
    <t>CESAR TELLO RAMIREZ</t>
  </si>
  <si>
    <t>TERC8301255896</t>
  </si>
  <si>
    <t>TERC830125HMNLMS09</t>
  </si>
  <si>
    <t>ROGELIO VILCHIZ SOTO</t>
  </si>
  <si>
    <t>VISR8704227AA</t>
  </si>
  <si>
    <t>VISR870422HMNLTG08</t>
  </si>
  <si>
    <t>JOSE JUAN MARQUEZ RAMIREZ</t>
  </si>
  <si>
    <t>MARJ680627JK6</t>
  </si>
  <si>
    <t>MARJ680627HMNRMN09</t>
  </si>
  <si>
    <t>CARMELO JUAREZ GUTIERREZ</t>
  </si>
  <si>
    <t>JUGC410402HMNRTRA0</t>
  </si>
  <si>
    <t>JUGC4104027T94</t>
  </si>
  <si>
    <t>BENITO SOTO RIVERA</t>
  </si>
  <si>
    <t>SORB670801GG5</t>
  </si>
  <si>
    <t>SORB670801HMNTVN03</t>
  </si>
  <si>
    <t>JUAN MALAGON GUTIERREZ</t>
  </si>
  <si>
    <t>MAGJ751226T72</t>
  </si>
  <si>
    <t>MAGJ751226HMNLTN00</t>
  </si>
  <si>
    <t>J. GUADALUPE TREJO MENDOZA</t>
  </si>
  <si>
    <t>TEMJ880615N92</t>
  </si>
  <si>
    <t>TEMJ880615HMNRND04</t>
  </si>
  <si>
    <t>ROBERTO ESPINO GARCIA</t>
  </si>
  <si>
    <t>EIGR8809111E5</t>
  </si>
  <si>
    <t>EIGR880911HMNSRB04</t>
  </si>
  <si>
    <t>EDGAR ALONSO ANGELES</t>
  </si>
  <si>
    <t>AOAE760601L75</t>
  </si>
  <si>
    <t>AOAE760601HMNLND00</t>
  </si>
  <si>
    <t>ANDREA DURAN VIEYRA</t>
  </si>
  <si>
    <t>DUVA980705AG3</t>
  </si>
  <si>
    <t>DUVA980705MMNRYN16</t>
  </si>
  <si>
    <t>AUXILIAR DE CULTURA</t>
  </si>
  <si>
    <t>MARIO SOLORZANO MEDINA</t>
  </si>
  <si>
    <t>SOMM0010175M5</t>
  </si>
  <si>
    <t>SOMM001017HMNLDRA7</t>
  </si>
  <si>
    <t>JHOVANI YAÑEZ DIAZ</t>
  </si>
  <si>
    <t>YADJ950810449</t>
  </si>
  <si>
    <t>YADJ950810HMNXZH05</t>
  </si>
  <si>
    <t>DIRECTOR DE TURISMO</t>
  </si>
  <si>
    <t>AUXILIAR DE  TURISMO</t>
  </si>
  <si>
    <t>ANDREA ISABEL ENRIQUEZ NUÑEZ</t>
  </si>
  <si>
    <t>EINA9211227R1</t>
  </si>
  <si>
    <t>EINA921122MMNNXN03</t>
  </si>
  <si>
    <t>JOSE HUMBERTO TELLEZ MARTINEZ</t>
  </si>
  <si>
    <t>TEMH770511FB4</t>
  </si>
  <si>
    <t>TEMH770511HMCLRM07</t>
  </si>
  <si>
    <t>HERIBERTO VAZQUEZ GARCIA</t>
  </si>
  <si>
    <t>LORENA ROMERO PERALTA</t>
  </si>
  <si>
    <t>ROPL800418T38</t>
  </si>
  <si>
    <t>ROPL800418MMNMRR08</t>
  </si>
  <si>
    <t>OMAR GARCIA PEREZ</t>
  </si>
  <si>
    <t>GAPO9706151J8</t>
  </si>
  <si>
    <t>GAPO970615HMNRRM07</t>
  </si>
  <si>
    <t>JOSE MANUEL MIRANDA MARTINEZ</t>
  </si>
  <si>
    <t>MIMM970804HQ6</t>
  </si>
  <si>
    <t>MIMM970804HMNRRN06</t>
  </si>
  <si>
    <t>VICTOR DANIEL GOMEZ SOTO</t>
  </si>
  <si>
    <t>GOSV991103723</t>
  </si>
  <si>
    <t>GOSV991103HMNMTC07</t>
  </si>
  <si>
    <t>J. REFUGIO GONZALEZ VAZQUEZ</t>
  </si>
  <si>
    <t>GOVJ640616M25</t>
  </si>
  <si>
    <t>GOVJ640616HMNNZF07</t>
  </si>
  <si>
    <t>LESLIE EVELYN TORRES MALAGON</t>
  </si>
  <si>
    <t>TOML040301PG3</t>
  </si>
  <si>
    <t>TOML040301MMNRLS05</t>
  </si>
  <si>
    <t>JUAN LUIS ROJAS LOPEZ</t>
  </si>
  <si>
    <t>ROLJ820519CT2</t>
  </si>
  <si>
    <t>ROLJ820519HMNJPN00</t>
  </si>
  <si>
    <t>ALAN GARCIA SANCHEZ</t>
  </si>
  <si>
    <t>GASA931230CU6</t>
  </si>
  <si>
    <t>GASA931230HMNRNL06</t>
  </si>
  <si>
    <t>ABDUL FRANCISCO HERNANDEZ MENDOZA</t>
  </si>
  <si>
    <t>HEMA780922GZ6</t>
  </si>
  <si>
    <t>HEMA780922HDFRNB03</t>
  </si>
  <si>
    <t>MIRIAM NAYELI HERNANDEZ VAZQUEZ</t>
  </si>
  <si>
    <t>HEVM920816998</t>
  </si>
  <si>
    <t>HEVM920816MMCRZR00</t>
  </si>
  <si>
    <t>EDUARDO HERNANDEZ PADILLA</t>
  </si>
  <si>
    <t>HEPE050708367</t>
  </si>
  <si>
    <t>HEPE050708HMNRDDA7</t>
  </si>
  <si>
    <t>RAUL PACHECO SOTO</t>
  </si>
  <si>
    <t>PASR900307E14</t>
  </si>
  <si>
    <t>PASR900307HMNCTL05</t>
  </si>
  <si>
    <t>MELISSA BERRIOS PEREZ</t>
  </si>
  <si>
    <t>BEPM0602058T9</t>
  </si>
  <si>
    <t>BEPM060205MMNRRLA0</t>
  </si>
  <si>
    <t>( S ) SINDICALIZADO</t>
  </si>
  <si>
    <t xml:space="preserve">AYUDANTE DE LIMPIA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</si>
</sst>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dd/mmm/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sz val="14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6"/>
      <name val="Arial"/>
      <family val="2"/>
    </font>
    <font>
      <sz val="8"/>
      <color rgb="FF87929F"/>
      <name val="MS Sans Serif"/>
      <family val="2"/>
    </font>
    <font>
      <sz val="8"/>
      <name val="Calibri"/>
      <family val="2"/>
      <scheme val="minor"/>
    </font>
    <font>
      <sz val="14"/>
      <color rgb="FF1E395B"/>
      <name val="Arial"/>
      <family val="2"/>
    </font>
    <font>
      <b/>
      <sz val="14"/>
      <color rgb="FF1E395B"/>
      <name val="Arial"/>
      <family val="2"/>
    </font>
    <font>
      <b/>
      <sz val="10.5"/>
      <name val="Arial"/>
      <family val="2"/>
    </font>
    <font>
      <sz val="14"/>
      <color theme="1" tint="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98">
    <xf numFmtId="0" fontId="0" fillId="0" borderId="0" xfId="0"/>
    <xf numFmtId="0" fontId="4" fillId="0" borderId="0" xfId="2" applyFont="1" applyAlignment="1">
      <alignment vertical="center"/>
    </xf>
    <xf numFmtId="0" fontId="5" fillId="2" borderId="2" xfId="2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2" fillId="0" borderId="0" xfId="2" applyFont="1" applyAlignment="1">
      <alignment vertical="center"/>
    </xf>
    <xf numFmtId="164" fontId="5" fillId="0" borderId="0" xfId="2" applyNumberFormat="1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164" fontId="5" fillId="0" borderId="13" xfId="2" applyNumberFormat="1" applyFont="1" applyBorder="1" applyAlignment="1">
      <alignment vertical="center"/>
    </xf>
    <xf numFmtId="0" fontId="18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49" fontId="13" fillId="0" borderId="11" xfId="2" applyNumberFormat="1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1" fillId="0" borderId="0" xfId="2" applyFont="1" applyAlignment="1">
      <alignment horizontal="justify" vertical="center" wrapText="1"/>
    </xf>
    <xf numFmtId="0" fontId="15" fillId="0" borderId="0" xfId="2" applyFont="1" applyAlignment="1">
      <alignment horizontal="justify" vertical="center" wrapText="1"/>
    </xf>
    <xf numFmtId="0" fontId="7" fillId="0" borderId="0" xfId="2" applyFont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/>
    </xf>
    <xf numFmtId="165" fontId="13" fillId="0" borderId="14" xfId="0" applyNumberFormat="1" applyFont="1" applyBorder="1" applyAlignment="1">
      <alignment horizontal="center" vertical="center" wrapText="1"/>
    </xf>
    <xf numFmtId="164" fontId="5" fillId="0" borderId="23" xfId="2" applyNumberFormat="1" applyFont="1" applyBorder="1" applyAlignment="1">
      <alignment vertical="center"/>
    </xf>
    <xf numFmtId="165" fontId="6" fillId="0" borderId="11" xfId="0" applyNumberFormat="1" applyFont="1" applyBorder="1" applyAlignment="1">
      <alignment horizontal="center" vertical="center" wrapText="1"/>
    </xf>
    <xf numFmtId="0" fontId="6" fillId="0" borderId="14" xfId="2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44" fontId="6" fillId="0" borderId="0" xfId="1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 wrapText="1"/>
    </xf>
    <xf numFmtId="0" fontId="6" fillId="0" borderId="14" xfId="0" applyFont="1" applyBorder="1" applyAlignment="1">
      <alignment vertical="center" wrapText="1"/>
    </xf>
    <xf numFmtId="44" fontId="6" fillId="0" borderId="14" xfId="1" applyFont="1" applyFill="1" applyBorder="1" applyAlignment="1" applyProtection="1">
      <alignment vertical="center" wrapText="1"/>
    </xf>
    <xf numFmtId="44" fontId="6" fillId="0" borderId="14" xfId="1" applyFont="1" applyFill="1" applyBorder="1" applyAlignment="1">
      <alignment vertical="center" wrapText="1"/>
    </xf>
    <xf numFmtId="164" fontId="6" fillId="0" borderId="14" xfId="1" applyNumberFormat="1" applyFont="1" applyFill="1" applyBorder="1" applyAlignment="1">
      <alignment vertical="center" wrapText="1"/>
    </xf>
    <xf numFmtId="164" fontId="6" fillId="0" borderId="14" xfId="2" applyNumberFormat="1" applyFont="1" applyBorder="1" applyAlignment="1">
      <alignment vertical="center" wrapText="1"/>
    </xf>
    <xf numFmtId="164" fontId="6" fillId="0" borderId="14" xfId="2" applyNumberFormat="1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44" fontId="6" fillId="0" borderId="11" xfId="1" applyFont="1" applyFill="1" applyBorder="1" applyAlignment="1" applyProtection="1">
      <alignment vertical="center" wrapText="1"/>
    </xf>
    <xf numFmtId="164" fontId="6" fillId="0" borderId="11" xfId="1" applyNumberFormat="1" applyFont="1" applyFill="1" applyBorder="1" applyAlignment="1">
      <alignment vertical="center" wrapText="1"/>
    </xf>
    <xf numFmtId="44" fontId="6" fillId="0" borderId="11" xfId="1" applyFont="1" applyFill="1" applyBorder="1" applyAlignment="1">
      <alignment vertical="center" wrapText="1"/>
    </xf>
    <xf numFmtId="164" fontId="6" fillId="0" borderId="11" xfId="2" applyNumberFormat="1" applyFont="1" applyBorder="1" applyAlignment="1">
      <alignment vertical="center" wrapText="1"/>
    </xf>
    <xf numFmtId="164" fontId="6" fillId="0" borderId="11" xfId="2" applyNumberFormat="1" applyFont="1" applyBorder="1" applyAlignment="1">
      <alignment vertical="center"/>
    </xf>
    <xf numFmtId="0" fontId="11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164" fontId="11" fillId="0" borderId="0" xfId="2" applyNumberFormat="1" applyFont="1" applyAlignment="1">
      <alignment vertical="center"/>
    </xf>
    <xf numFmtId="44" fontId="13" fillId="0" borderId="11" xfId="1" applyFont="1" applyFill="1" applyBorder="1" applyAlignment="1" applyProtection="1">
      <alignment vertical="center" wrapText="1"/>
    </xf>
    <xf numFmtId="164" fontId="13" fillId="0" borderId="11" xfId="1" applyNumberFormat="1" applyFont="1" applyFill="1" applyBorder="1" applyAlignment="1">
      <alignment vertical="center" wrapText="1"/>
    </xf>
    <xf numFmtId="44" fontId="13" fillId="0" borderId="11" xfId="1" applyFont="1" applyFill="1" applyBorder="1" applyAlignment="1">
      <alignment vertical="center" wrapText="1"/>
    </xf>
    <xf numFmtId="164" fontId="13" fillId="0" borderId="11" xfId="2" applyNumberFormat="1" applyFont="1" applyBorder="1" applyAlignment="1">
      <alignment vertical="center"/>
    </xf>
    <xf numFmtId="44" fontId="11" fillId="0" borderId="0" xfId="2" applyNumberFormat="1" applyFont="1" applyAlignment="1">
      <alignment vertical="center"/>
    </xf>
    <xf numFmtId="0" fontId="13" fillId="0" borderId="11" xfId="0" applyFont="1" applyBorder="1" applyAlignment="1">
      <alignment vertical="center" wrapText="1"/>
    </xf>
    <xf numFmtId="0" fontId="5" fillId="0" borderId="0" xfId="2" applyFont="1" applyAlignment="1">
      <alignment vertical="center"/>
    </xf>
    <xf numFmtId="0" fontId="6" fillId="0" borderId="14" xfId="2" applyFont="1" applyBorder="1" applyAlignment="1">
      <alignment vertical="center" wrapText="1"/>
    </xf>
    <xf numFmtId="0" fontId="6" fillId="0" borderId="11" xfId="2" applyFont="1" applyBorder="1" applyAlignment="1">
      <alignment vertical="center" wrapText="1"/>
    </xf>
    <xf numFmtId="0" fontId="13" fillId="0" borderId="14" xfId="2" applyFont="1" applyBorder="1" applyAlignment="1">
      <alignment vertical="center"/>
    </xf>
    <xf numFmtId="0" fontId="13" fillId="0" borderId="14" xfId="0" applyFont="1" applyBorder="1" applyAlignment="1">
      <alignment vertical="center" wrapText="1"/>
    </xf>
    <xf numFmtId="44" fontId="13" fillId="0" borderId="14" xfId="1" applyFont="1" applyFill="1" applyBorder="1" applyAlignment="1" applyProtection="1">
      <alignment vertical="center" wrapText="1"/>
    </xf>
    <xf numFmtId="44" fontId="13" fillId="0" borderId="14" xfId="1" applyFont="1" applyFill="1" applyBorder="1" applyAlignment="1">
      <alignment vertical="center" wrapText="1"/>
    </xf>
    <xf numFmtId="164" fontId="13" fillId="0" borderId="14" xfId="1" applyNumberFormat="1" applyFont="1" applyFill="1" applyBorder="1" applyAlignment="1">
      <alignment vertical="center" wrapText="1"/>
    </xf>
    <xf numFmtId="164" fontId="13" fillId="0" borderId="14" xfId="2" applyNumberFormat="1" applyFont="1" applyBorder="1" applyAlignment="1">
      <alignment vertical="center" wrapText="1"/>
    </xf>
    <xf numFmtId="164" fontId="13" fillId="0" borderId="14" xfId="2" applyNumberFormat="1" applyFont="1" applyBorder="1" applyAlignment="1">
      <alignment vertical="center"/>
    </xf>
    <xf numFmtId="0" fontId="13" fillId="0" borderId="11" xfId="2" applyFont="1" applyBorder="1" applyAlignment="1">
      <alignment vertical="center"/>
    </xf>
    <xf numFmtId="164" fontId="13" fillId="0" borderId="11" xfId="2" applyNumberFormat="1" applyFont="1" applyBorder="1" applyAlignment="1">
      <alignment vertical="center" wrapText="1"/>
    </xf>
    <xf numFmtId="49" fontId="13" fillId="0" borderId="11" xfId="2" applyNumberFormat="1" applyFont="1" applyBorder="1" applyAlignment="1">
      <alignment vertical="center" wrapText="1"/>
    </xf>
    <xf numFmtId="165" fontId="13" fillId="0" borderId="11" xfId="0" applyNumberFormat="1" applyFont="1" applyBorder="1" applyAlignment="1">
      <alignment vertical="center" wrapText="1"/>
    </xf>
    <xf numFmtId="49" fontId="6" fillId="0" borderId="0" xfId="2" applyNumberFormat="1" applyFont="1" applyAlignment="1">
      <alignment vertical="center" wrapText="1"/>
    </xf>
    <xf numFmtId="164" fontId="13" fillId="0" borderId="0" xfId="1" applyNumberFormat="1" applyFont="1" applyFill="1" applyBorder="1" applyAlignment="1">
      <alignment vertical="center" wrapText="1"/>
    </xf>
    <xf numFmtId="164" fontId="17" fillId="0" borderId="0" xfId="1" applyNumberFormat="1" applyFont="1" applyFill="1" applyBorder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0" fontId="5" fillId="3" borderId="6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44" fontId="13" fillId="0" borderId="0" xfId="1" applyFont="1" applyFill="1" applyBorder="1" applyAlignment="1" applyProtection="1">
      <alignment vertical="center" wrapText="1"/>
    </xf>
    <xf numFmtId="164" fontId="13" fillId="0" borderId="0" xfId="2" applyNumberFormat="1" applyFont="1" applyAlignment="1">
      <alignment vertical="center"/>
    </xf>
    <xf numFmtId="44" fontId="13" fillId="0" borderId="16" xfId="1" applyFont="1" applyFill="1" applyBorder="1" applyAlignment="1" applyProtection="1">
      <alignment vertical="center" wrapText="1"/>
    </xf>
    <xf numFmtId="44" fontId="13" fillId="0" borderId="16" xfId="1" applyFont="1" applyFill="1" applyBorder="1" applyAlignment="1">
      <alignment vertical="center" wrapText="1"/>
    </xf>
    <xf numFmtId="164" fontId="13" fillId="0" borderId="16" xfId="1" applyNumberFormat="1" applyFont="1" applyFill="1" applyBorder="1" applyAlignment="1">
      <alignment vertical="center" wrapText="1"/>
    </xf>
    <xf numFmtId="164" fontId="13" fillId="0" borderId="16" xfId="2" applyNumberFormat="1" applyFont="1" applyBorder="1" applyAlignment="1">
      <alignment vertical="center"/>
    </xf>
    <xf numFmtId="44" fontId="6" fillId="0" borderId="34" xfId="1" applyFont="1" applyFill="1" applyBorder="1" applyAlignment="1">
      <alignment vertical="center"/>
    </xf>
    <xf numFmtId="44" fontId="6" fillId="0" borderId="17" xfId="1" applyFont="1" applyFill="1" applyBorder="1" applyAlignment="1">
      <alignment vertical="center"/>
    </xf>
    <xf numFmtId="0" fontId="19" fillId="0" borderId="0" xfId="0" applyFont="1" applyAlignment="1">
      <alignment vertical="top" wrapText="1"/>
    </xf>
    <xf numFmtId="164" fontId="17" fillId="0" borderId="0" xfId="2" applyNumberFormat="1" applyFont="1" applyAlignment="1">
      <alignment vertical="center"/>
    </xf>
    <xf numFmtId="164" fontId="5" fillId="0" borderId="36" xfId="2" applyNumberFormat="1" applyFont="1" applyBorder="1" applyAlignment="1">
      <alignment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4" fontId="6" fillId="0" borderId="11" xfId="1" applyFont="1" applyFill="1" applyBorder="1" applyAlignment="1">
      <alignment vertical="center"/>
    </xf>
    <xf numFmtId="165" fontId="21" fillId="0" borderId="41" xfId="0" applyNumberFormat="1" applyFont="1" applyBorder="1" applyAlignment="1">
      <alignment horizontal="left" vertical="center" wrapText="1"/>
    </xf>
    <xf numFmtId="0" fontId="6" fillId="0" borderId="11" xfId="2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65" fontId="21" fillId="0" borderId="41" xfId="0" applyNumberFormat="1" applyFont="1" applyBorder="1" applyAlignment="1">
      <alignment horizontal="center" vertical="center" wrapText="1"/>
    </xf>
    <xf numFmtId="49" fontId="6" fillId="0" borderId="0" xfId="2" applyNumberFormat="1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/>
    </xf>
    <xf numFmtId="0" fontId="5" fillId="2" borderId="27" xfId="2" applyFont="1" applyFill="1" applyBorder="1" applyAlignment="1">
      <alignment horizontal="center" vertical="center"/>
    </xf>
    <xf numFmtId="49" fontId="13" fillId="0" borderId="14" xfId="2" applyNumberFormat="1" applyFont="1" applyBorder="1" applyAlignment="1">
      <alignment horizontal="center" vertical="center" wrapText="1"/>
    </xf>
    <xf numFmtId="49" fontId="13" fillId="0" borderId="0" xfId="2" applyNumberFormat="1" applyFont="1" applyAlignment="1">
      <alignment horizontal="center" vertical="center" wrapText="1"/>
    </xf>
    <xf numFmtId="44" fontId="13" fillId="0" borderId="0" xfId="1" applyFont="1" applyFill="1" applyBorder="1" applyAlignment="1">
      <alignment vertical="center" wrapText="1"/>
    </xf>
    <xf numFmtId="0" fontId="21" fillId="0" borderId="11" xfId="0" applyFont="1" applyBorder="1" applyAlignment="1">
      <alignment horizontal="left" vertical="center" wrapText="1"/>
    </xf>
    <xf numFmtId="165" fontId="21" fillId="0" borderId="11" xfId="0" applyNumberFormat="1" applyFont="1" applyBorder="1" applyAlignment="1">
      <alignment horizontal="center" vertical="center" wrapText="1"/>
    </xf>
    <xf numFmtId="44" fontId="21" fillId="0" borderId="11" xfId="1" applyFont="1" applyFill="1" applyBorder="1" applyAlignment="1" applyProtection="1">
      <alignment horizontal="right" vertical="center" wrapText="1"/>
    </xf>
    <xf numFmtId="165" fontId="21" fillId="0" borderId="11" xfId="0" applyNumberFormat="1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13" fillId="0" borderId="33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11" xfId="2" applyFont="1" applyBorder="1" applyAlignment="1">
      <alignment horizontal="center" vertical="center" wrapText="1"/>
    </xf>
    <xf numFmtId="49" fontId="13" fillId="0" borderId="14" xfId="2" applyNumberFormat="1" applyFont="1" applyBorder="1" applyAlignment="1">
      <alignment vertical="center" wrapText="1"/>
    </xf>
    <xf numFmtId="44" fontId="6" fillId="0" borderId="0" xfId="1" applyFont="1" applyFill="1" applyBorder="1" applyAlignment="1">
      <alignment vertical="center"/>
    </xf>
    <xf numFmtId="44" fontId="5" fillId="0" borderId="20" xfId="1" applyFont="1" applyBorder="1" applyAlignment="1">
      <alignment vertical="center"/>
    </xf>
    <xf numFmtId="44" fontId="6" fillId="0" borderId="0" xfId="1" applyFont="1" applyAlignment="1">
      <alignment vertical="center"/>
    </xf>
    <xf numFmtId="44" fontId="6" fillId="2" borderId="21" xfId="1" applyFont="1" applyFill="1" applyBorder="1" applyAlignment="1">
      <alignment vertical="center"/>
    </xf>
    <xf numFmtId="44" fontId="6" fillId="2" borderId="22" xfId="1" applyFont="1" applyFill="1" applyBorder="1" applyAlignment="1">
      <alignment vertical="center"/>
    </xf>
    <xf numFmtId="44" fontId="5" fillId="0" borderId="20" xfId="1" applyFont="1" applyFill="1" applyBorder="1" applyAlignment="1">
      <alignment vertical="center"/>
    </xf>
    <xf numFmtId="44" fontId="6" fillId="0" borderId="0" xfId="1" applyFont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6" fillId="0" borderId="0" xfId="1" applyFont="1" applyFill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6" fillId="0" borderId="16" xfId="2" applyFont="1" applyBorder="1" applyAlignment="1">
      <alignment vertical="center"/>
    </xf>
    <xf numFmtId="165" fontId="6" fillId="0" borderId="16" xfId="0" applyNumberFormat="1" applyFont="1" applyBorder="1" applyAlignment="1">
      <alignment horizontal="center" vertical="center" wrapText="1"/>
    </xf>
    <xf numFmtId="44" fontId="6" fillId="0" borderId="16" xfId="1" applyFont="1" applyFill="1" applyBorder="1" applyAlignment="1">
      <alignment vertical="center" wrapText="1"/>
    </xf>
    <xf numFmtId="0" fontId="13" fillId="0" borderId="14" xfId="2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vertical="center" wrapText="1"/>
    </xf>
    <xf numFmtId="44" fontId="6" fillId="0" borderId="0" xfId="1" applyFont="1" applyFill="1" applyBorder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vertical="center" wrapText="1"/>
    </xf>
    <xf numFmtId="165" fontId="21" fillId="0" borderId="0" xfId="0" applyNumberFormat="1" applyFont="1" applyAlignment="1">
      <alignment horizontal="left" vertical="center" wrapText="1"/>
    </xf>
    <xf numFmtId="164" fontId="5" fillId="0" borderId="45" xfId="2" applyNumberFormat="1" applyFont="1" applyBorder="1" applyAlignment="1">
      <alignment vertical="center"/>
    </xf>
    <xf numFmtId="164" fontId="5" fillId="0" borderId="31" xfId="2" applyNumberFormat="1" applyFont="1" applyBorder="1" applyAlignment="1">
      <alignment vertical="center"/>
    </xf>
    <xf numFmtId="164" fontId="5" fillId="0" borderId="20" xfId="2" applyNumberFormat="1" applyFont="1" applyBorder="1" applyAlignment="1">
      <alignment vertical="center"/>
    </xf>
    <xf numFmtId="44" fontId="6" fillId="0" borderId="16" xfId="1" applyFont="1" applyFill="1" applyBorder="1" applyAlignment="1" applyProtection="1">
      <alignment vertical="center" wrapText="1"/>
    </xf>
    <xf numFmtId="164" fontId="6" fillId="0" borderId="16" xfId="1" applyNumberFormat="1" applyFont="1" applyFill="1" applyBorder="1" applyAlignment="1">
      <alignment vertical="center" wrapText="1"/>
    </xf>
    <xf numFmtId="164" fontId="6" fillId="0" borderId="16" xfId="2" applyNumberFormat="1" applyFont="1" applyBorder="1" applyAlignment="1">
      <alignment vertical="center" wrapText="1"/>
    </xf>
    <xf numFmtId="164" fontId="6" fillId="0" borderId="16" xfId="2" applyNumberFormat="1" applyFont="1" applyBorder="1" applyAlignment="1">
      <alignment vertical="center"/>
    </xf>
    <xf numFmtId="44" fontId="6" fillId="0" borderId="17" xfId="1" applyFont="1" applyBorder="1" applyAlignment="1">
      <alignment vertical="center"/>
    </xf>
    <xf numFmtId="164" fontId="11" fillId="0" borderId="45" xfId="2" applyNumberFormat="1" applyFont="1" applyBorder="1" applyAlignment="1">
      <alignment vertical="center"/>
    </xf>
    <xf numFmtId="164" fontId="11" fillId="0" borderId="31" xfId="2" applyNumberFormat="1" applyFont="1" applyBorder="1" applyAlignment="1">
      <alignment vertical="center"/>
    </xf>
    <xf numFmtId="164" fontId="11" fillId="0" borderId="20" xfId="2" applyNumberFormat="1" applyFont="1" applyBorder="1" applyAlignment="1">
      <alignment vertical="center"/>
    </xf>
    <xf numFmtId="44" fontId="6" fillId="0" borderId="14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vertical="center" wrapText="1"/>
    </xf>
    <xf numFmtId="164" fontId="11" fillId="0" borderId="5" xfId="2" applyNumberFormat="1" applyFont="1" applyBorder="1" applyAlignment="1">
      <alignment vertical="center"/>
    </xf>
    <xf numFmtId="164" fontId="11" fillId="0" borderId="26" xfId="2" applyNumberFormat="1" applyFont="1" applyBorder="1" applyAlignment="1">
      <alignment vertical="center"/>
    </xf>
    <xf numFmtId="164" fontId="11" fillId="0" borderId="22" xfId="2" applyNumberFormat="1" applyFont="1" applyBorder="1" applyAlignment="1">
      <alignment vertical="center"/>
    </xf>
    <xf numFmtId="44" fontId="5" fillId="0" borderId="31" xfId="1" applyFont="1" applyBorder="1" applyAlignment="1">
      <alignment vertical="center"/>
    </xf>
    <xf numFmtId="44" fontId="5" fillId="0" borderId="45" xfId="1" applyFont="1" applyBorder="1" applyAlignment="1">
      <alignment vertical="center"/>
    </xf>
    <xf numFmtId="164" fontId="5" fillId="0" borderId="5" xfId="2" applyNumberFormat="1" applyFont="1" applyBorder="1" applyAlignment="1">
      <alignment vertical="center"/>
    </xf>
    <xf numFmtId="164" fontId="5" fillId="0" borderId="26" xfId="2" applyNumberFormat="1" applyFont="1" applyBorder="1" applyAlignment="1">
      <alignment vertical="center"/>
    </xf>
    <xf numFmtId="164" fontId="5" fillId="0" borderId="22" xfId="2" applyNumberFormat="1" applyFont="1" applyBorder="1" applyAlignment="1">
      <alignment vertical="center"/>
    </xf>
    <xf numFmtId="44" fontId="21" fillId="0" borderId="41" xfId="1" applyFont="1" applyFill="1" applyBorder="1" applyAlignment="1" applyProtection="1">
      <alignment horizontal="right" vertical="center" wrapText="1"/>
    </xf>
    <xf numFmtId="0" fontId="5" fillId="2" borderId="11" xfId="2" applyFont="1" applyFill="1" applyBorder="1" applyAlignment="1">
      <alignment horizontal="center" vertical="center"/>
    </xf>
    <xf numFmtId="0" fontId="8" fillId="5" borderId="0" xfId="2" applyFont="1" applyFill="1" applyAlignment="1">
      <alignment horizontal="center" vertical="center"/>
    </xf>
    <xf numFmtId="0" fontId="11" fillId="5" borderId="0" xfId="2" applyFont="1" applyFill="1" applyAlignment="1">
      <alignment vertical="center" wrapText="1"/>
    </xf>
    <xf numFmtId="0" fontId="11" fillId="5" borderId="0" xfId="2" applyFont="1" applyFill="1" applyAlignment="1">
      <alignment vertical="center"/>
    </xf>
    <xf numFmtId="0" fontId="11" fillId="5" borderId="0" xfId="2" applyFont="1" applyFill="1" applyAlignment="1">
      <alignment horizontal="center" vertical="center"/>
    </xf>
    <xf numFmtId="164" fontId="11" fillId="5" borderId="0" xfId="2" applyNumberFormat="1" applyFont="1" applyFill="1" applyAlignment="1">
      <alignment vertical="center"/>
    </xf>
    <xf numFmtId="164" fontId="5" fillId="5" borderId="0" xfId="2" applyNumberFormat="1" applyFont="1" applyFill="1" applyAlignment="1">
      <alignment vertical="center"/>
    </xf>
    <xf numFmtId="0" fontId="10" fillId="5" borderId="0" xfId="2" applyFont="1" applyFill="1" applyAlignment="1">
      <alignment vertical="center"/>
    </xf>
    <xf numFmtId="0" fontId="11" fillId="5" borderId="0" xfId="2" applyFont="1" applyFill="1" applyAlignment="1">
      <alignment horizontal="justify" vertical="center" wrapText="1"/>
    </xf>
    <xf numFmtId="164" fontId="11" fillId="5" borderId="0" xfId="2" applyNumberFormat="1" applyFont="1" applyFill="1" applyAlignment="1">
      <alignment horizontal="center" vertical="center"/>
    </xf>
    <xf numFmtId="0" fontId="10" fillId="5" borderId="0" xfId="2" applyFont="1" applyFill="1" applyAlignment="1">
      <alignment horizontal="left" vertical="center"/>
    </xf>
    <xf numFmtId="0" fontId="6" fillId="5" borderId="0" xfId="2" applyFont="1" applyFill="1" applyAlignment="1">
      <alignment vertical="center"/>
    </xf>
    <xf numFmtId="44" fontId="5" fillId="0" borderId="45" xfId="1" applyFont="1" applyFill="1" applyBorder="1" applyAlignment="1">
      <alignment vertical="center"/>
    </xf>
    <xf numFmtId="164" fontId="10" fillId="0" borderId="0" xfId="2" applyNumberFormat="1" applyFont="1" applyAlignment="1">
      <alignment vertical="center"/>
    </xf>
    <xf numFmtId="0" fontId="5" fillId="2" borderId="7" xfId="2" applyFont="1" applyFill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44" fontId="6" fillId="0" borderId="28" xfId="1" applyFont="1" applyFill="1" applyBorder="1" applyAlignment="1">
      <alignment vertical="center"/>
    </xf>
    <xf numFmtId="0" fontId="23" fillId="0" borderId="0" xfId="2" applyFont="1" applyAlignment="1">
      <alignment horizontal="left" vertical="center"/>
    </xf>
    <xf numFmtId="0" fontId="13" fillId="0" borderId="10" xfId="2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13" fillId="0" borderId="16" xfId="2" applyFont="1" applyBorder="1" applyAlignment="1">
      <alignment vertical="center"/>
    </xf>
    <xf numFmtId="165" fontId="21" fillId="0" borderId="16" xfId="0" applyNumberFormat="1" applyFont="1" applyBorder="1" applyAlignment="1">
      <alignment horizontal="left" vertical="center" wrapText="1"/>
    </xf>
    <xf numFmtId="0" fontId="5" fillId="2" borderId="8" xfId="2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44" fontId="6" fillId="2" borderId="9" xfId="1" applyFont="1" applyFill="1" applyBorder="1" applyAlignment="1">
      <alignment vertical="center"/>
    </xf>
    <xf numFmtId="0" fontId="13" fillId="0" borderId="10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49" fontId="13" fillId="0" borderId="16" xfId="2" applyNumberFormat="1" applyFont="1" applyBorder="1" applyAlignment="1">
      <alignment vertical="center" wrapText="1"/>
    </xf>
    <xf numFmtId="165" fontId="13" fillId="0" borderId="16" xfId="0" applyNumberFormat="1" applyFont="1" applyBorder="1" applyAlignment="1">
      <alignment horizontal="center" vertical="center" wrapText="1"/>
    </xf>
    <xf numFmtId="0" fontId="5" fillId="2" borderId="46" xfId="2" applyFont="1" applyFill="1" applyBorder="1" applyAlignment="1">
      <alignment horizontal="center" vertical="center"/>
    </xf>
    <xf numFmtId="0" fontId="5" fillId="2" borderId="47" xfId="2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0" fontId="5" fillId="2" borderId="2" xfId="2" applyFont="1" applyFill="1" applyBorder="1" applyAlignment="1">
      <alignment vertical="center"/>
    </xf>
    <xf numFmtId="0" fontId="5" fillId="2" borderId="3" xfId="2" applyFont="1" applyFill="1" applyBorder="1" applyAlignment="1">
      <alignment vertical="center"/>
    </xf>
    <xf numFmtId="0" fontId="5" fillId="2" borderId="27" xfId="2" applyFont="1" applyFill="1" applyBorder="1" applyAlignment="1">
      <alignment vertical="center"/>
    </xf>
    <xf numFmtId="0" fontId="5" fillId="2" borderId="5" xfId="2" applyFont="1" applyFill="1" applyBorder="1" applyAlignment="1">
      <alignment vertical="center"/>
    </xf>
    <xf numFmtId="0" fontId="5" fillId="2" borderId="26" xfId="2" applyFont="1" applyFill="1" applyBorder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5" fillId="0" borderId="12" xfId="2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top"/>
    </xf>
    <xf numFmtId="0" fontId="5" fillId="2" borderId="8" xfId="2" applyFont="1" applyFill="1" applyBorder="1" applyAlignment="1">
      <alignment vertical="center"/>
    </xf>
    <xf numFmtId="0" fontId="5" fillId="2" borderId="10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vertical="center" wrapText="1"/>
    </xf>
    <xf numFmtId="0" fontId="6" fillId="2" borderId="11" xfId="2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5" fillId="2" borderId="21" xfId="2" applyFont="1" applyFill="1" applyBorder="1" applyAlignment="1">
      <alignment vertical="center"/>
    </xf>
    <xf numFmtId="0" fontId="5" fillId="2" borderId="22" xfId="2" applyFont="1" applyFill="1" applyBorder="1" applyAlignment="1">
      <alignment vertical="center"/>
    </xf>
    <xf numFmtId="44" fontId="6" fillId="2" borderId="21" xfId="1" applyFont="1" applyFill="1" applyBorder="1" applyAlignment="1">
      <alignment vertical="center"/>
    </xf>
    <xf numFmtId="44" fontId="6" fillId="2" borderId="22" xfId="1" applyFont="1" applyFill="1" applyBorder="1" applyAlignment="1">
      <alignment vertical="center"/>
    </xf>
    <xf numFmtId="0" fontId="5" fillId="2" borderId="9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0" xfId="2" applyFont="1" applyFill="1" applyAlignment="1">
      <alignment vertical="center"/>
    </xf>
    <xf numFmtId="0" fontId="5" fillId="2" borderId="7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vertical="center" wrapText="1"/>
    </xf>
    <xf numFmtId="0" fontId="6" fillId="2" borderId="32" xfId="2" applyFont="1" applyFill="1" applyBorder="1" applyAlignment="1">
      <alignment vertical="center" wrapText="1"/>
    </xf>
    <xf numFmtId="0" fontId="5" fillId="2" borderId="16" xfId="2" applyFont="1" applyFill="1" applyBorder="1" applyAlignment="1">
      <alignment vertical="center" wrapText="1"/>
    </xf>
    <xf numFmtId="0" fontId="6" fillId="2" borderId="16" xfId="2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vertical="center" wrapText="1"/>
    </xf>
    <xf numFmtId="0" fontId="5" fillId="2" borderId="17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27" xfId="2" applyFont="1" applyFill="1" applyBorder="1" applyAlignment="1">
      <alignment vertical="center" wrapText="1"/>
    </xf>
    <xf numFmtId="0" fontId="5" fillId="2" borderId="5" xfId="2" applyFont="1" applyFill="1" applyBorder="1" applyAlignment="1">
      <alignment vertical="center" wrapText="1"/>
    </xf>
    <xf numFmtId="0" fontId="5" fillId="2" borderId="3" xfId="2" applyFont="1" applyFill="1" applyBorder="1" applyAlignment="1">
      <alignment vertical="center" wrapText="1"/>
    </xf>
    <xf numFmtId="0" fontId="5" fillId="2" borderId="26" xfId="2" applyFont="1" applyFill="1" applyBorder="1" applyAlignment="1">
      <alignment vertical="center" wrapText="1"/>
    </xf>
    <xf numFmtId="0" fontId="5" fillId="2" borderId="28" xfId="2" applyFont="1" applyFill="1" applyBorder="1" applyAlignment="1">
      <alignment vertical="center"/>
    </xf>
    <xf numFmtId="0" fontId="5" fillId="2" borderId="17" xfId="2" applyFont="1" applyFill="1" applyBorder="1" applyAlignment="1">
      <alignment vertical="center"/>
    </xf>
    <xf numFmtId="0" fontId="5" fillId="0" borderId="23" xfId="2" applyFont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vertical="center"/>
    </xf>
    <xf numFmtId="0" fontId="5" fillId="2" borderId="34" xfId="2" applyFont="1" applyFill="1" applyBorder="1" applyAlignment="1">
      <alignment vertical="center"/>
    </xf>
    <xf numFmtId="0" fontId="5" fillId="2" borderId="32" xfId="2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vertical="center" wrapText="1"/>
    </xf>
    <xf numFmtId="0" fontId="5" fillId="2" borderId="40" xfId="2" applyFont="1" applyFill="1" applyBorder="1" applyAlignment="1">
      <alignment horizontal="center" vertical="center" wrapText="1"/>
    </xf>
    <xf numFmtId="0" fontId="5" fillId="2" borderId="37" xfId="2" applyFont="1" applyFill="1" applyBorder="1" applyAlignment="1">
      <alignment horizontal="center" vertical="center" wrapText="1"/>
    </xf>
    <xf numFmtId="0" fontId="6" fillId="2" borderId="44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5" fillId="2" borderId="35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0" fontId="6" fillId="2" borderId="19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vertical="center" wrapText="1"/>
    </xf>
    <xf numFmtId="0" fontId="6" fillId="2" borderId="42" xfId="2" applyFont="1" applyFill="1" applyBorder="1" applyAlignment="1">
      <alignment vertical="center" wrapText="1"/>
    </xf>
    <xf numFmtId="0" fontId="5" fillId="2" borderId="38" xfId="2" applyFont="1" applyFill="1" applyBorder="1" applyAlignment="1">
      <alignment vertical="center" wrapText="1"/>
    </xf>
    <xf numFmtId="0" fontId="5" fillId="2" borderId="39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/>
    </xf>
    <xf numFmtId="0" fontId="5" fillId="0" borderId="36" xfId="2" applyFont="1" applyBorder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24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44" fontId="13" fillId="0" borderId="11" xfId="1" applyFont="1" applyFill="1" applyBorder="1" applyAlignment="1" applyProtection="1">
      <alignment horizontal="right" vertical="center" wrapText="1"/>
    </xf>
    <xf numFmtId="0" fontId="13" fillId="0" borderId="16" xfId="0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3350172</xdr:colOff>
      <xdr:row>10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12122" y="6723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455"/>
  <sheetViews>
    <sheetView tabSelected="1" topLeftCell="A350" zoomScale="52" zoomScaleNormal="52" workbookViewId="0">
      <selection activeCell="A406" sqref="A406:S430"/>
    </sheetView>
  </sheetViews>
  <sheetFormatPr baseColWidth="10" defaultColWidth="11.42578125" defaultRowHeight="18.75" customHeight="1" x14ac:dyDescent="0.25"/>
  <cols>
    <col min="1" max="1" width="10.28515625" style="14" customWidth="1"/>
    <col min="2" max="2" width="55" style="42" customWidth="1"/>
    <col min="3" max="3" width="32.5703125" style="42" customWidth="1"/>
    <col min="4" max="4" width="34.28515625" style="42" customWidth="1"/>
    <col min="5" max="5" width="22.140625" style="24" customWidth="1"/>
    <col min="6" max="6" width="13.28515625" style="14" bestFit="1" customWidth="1"/>
    <col min="7" max="7" width="23.85546875" style="14" customWidth="1"/>
    <col min="8" max="8" width="20.140625" style="15" customWidth="1"/>
    <col min="9" max="9" width="25.5703125" style="15" customWidth="1"/>
    <col min="10" max="10" width="14.7109375" style="15" customWidth="1"/>
    <col min="11" max="11" width="24.42578125" style="15" bestFit="1" customWidth="1"/>
    <col min="12" max="12" width="22.5703125" style="15" customWidth="1"/>
    <col min="13" max="13" width="17.28515625" style="16" customWidth="1"/>
    <col min="14" max="14" width="12.85546875" style="16" customWidth="1"/>
    <col min="15" max="15" width="21.42578125" style="15" customWidth="1"/>
    <col min="16" max="16" width="17.140625" style="15" customWidth="1"/>
    <col min="17" max="17" width="26.28515625" style="15" customWidth="1"/>
    <col min="18" max="18" width="25.7109375" style="4" customWidth="1"/>
    <col min="19" max="16384" width="11.42578125" style="8"/>
  </cols>
  <sheetData>
    <row r="2" spans="1:18" s="1" customFormat="1" ht="30" customHeight="1" x14ac:dyDescent="0.25">
      <c r="A2" s="220" t="s">
        <v>32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4"/>
    </row>
    <row r="3" spans="1:18" s="1" customFormat="1" ht="30" customHeight="1" x14ac:dyDescent="0.25">
      <c r="A3" s="221" t="s">
        <v>0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4"/>
    </row>
    <row r="4" spans="1:18" s="1" customFormat="1" ht="30" customHeight="1" thickBot="1" x14ac:dyDescent="0.3">
      <c r="A4" s="221" t="s">
        <v>453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4"/>
    </row>
    <row r="5" spans="1:18" s="4" customFormat="1" ht="24.95" customHeight="1" x14ac:dyDescent="0.25">
      <c r="A5" s="206"/>
      <c r="B5" s="239" t="s">
        <v>1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45"/>
    </row>
    <row r="6" spans="1:18" s="4" customFormat="1" ht="24.95" customHeight="1" thickBot="1" x14ac:dyDescent="0.3">
      <c r="A6" s="207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6"/>
    </row>
    <row r="7" spans="1:18" s="7" customFormat="1" ht="27.95" customHeight="1" x14ac:dyDescent="0.25">
      <c r="A7" s="277"/>
      <c r="B7" s="259" t="s">
        <v>2</v>
      </c>
      <c r="C7" s="287" t="s">
        <v>178</v>
      </c>
      <c r="D7" s="287" t="s">
        <v>179</v>
      </c>
      <c r="E7" s="259" t="s">
        <v>3</v>
      </c>
      <c r="F7" s="256" t="s">
        <v>4</v>
      </c>
      <c r="G7" s="260" t="s">
        <v>5</v>
      </c>
      <c r="H7" s="256" t="s">
        <v>6</v>
      </c>
      <c r="I7" s="256" t="s">
        <v>7</v>
      </c>
      <c r="J7" s="256" t="s">
        <v>8</v>
      </c>
      <c r="K7" s="256" t="s">
        <v>9</v>
      </c>
      <c r="L7" s="256" t="s">
        <v>10</v>
      </c>
      <c r="M7" s="256" t="s">
        <v>11</v>
      </c>
      <c r="N7" s="256" t="s">
        <v>12</v>
      </c>
      <c r="O7" s="256" t="s">
        <v>13</v>
      </c>
      <c r="P7" s="256" t="s">
        <v>14</v>
      </c>
      <c r="Q7" s="256" t="s">
        <v>15</v>
      </c>
      <c r="R7" s="253" t="s">
        <v>140</v>
      </c>
    </row>
    <row r="8" spans="1:18" s="7" customFormat="1" ht="27.95" customHeight="1" thickBot="1" x14ac:dyDescent="0.3">
      <c r="A8" s="238"/>
      <c r="B8" s="242"/>
      <c r="C8" s="288"/>
      <c r="D8" s="288"/>
      <c r="E8" s="241"/>
      <c r="F8" s="228"/>
      <c r="G8" s="244"/>
      <c r="H8" s="228"/>
      <c r="I8" s="228"/>
      <c r="J8" s="228"/>
      <c r="K8" s="228"/>
      <c r="L8" s="228"/>
      <c r="M8" s="228"/>
      <c r="N8" s="229"/>
      <c r="O8" s="229"/>
      <c r="P8" s="228"/>
      <c r="Q8" s="228"/>
      <c r="R8" s="254"/>
    </row>
    <row r="9" spans="1:18" s="25" customFormat="1" ht="60" customHeight="1" x14ac:dyDescent="0.25">
      <c r="A9" s="189">
        <v>164</v>
      </c>
      <c r="B9" s="43" t="s">
        <v>91</v>
      </c>
      <c r="C9" s="100" t="s">
        <v>180</v>
      </c>
      <c r="D9" s="100" t="s">
        <v>181</v>
      </c>
      <c r="E9" s="43" t="s">
        <v>174</v>
      </c>
      <c r="F9" s="35" t="s">
        <v>16</v>
      </c>
      <c r="G9" s="30">
        <v>45536</v>
      </c>
      <c r="H9" s="44">
        <v>1800.8927000000001</v>
      </c>
      <c r="I9" s="45">
        <f>27374*2</f>
        <v>54748</v>
      </c>
      <c r="J9" s="46"/>
      <c r="K9" s="45">
        <f>+H9*45</f>
        <v>81040.171500000011</v>
      </c>
      <c r="L9" s="45">
        <f>+H9*20*0.25</f>
        <v>9004.4634999999998</v>
      </c>
      <c r="M9" s="45">
        <v>0</v>
      </c>
      <c r="N9" s="47"/>
      <c r="O9" s="44">
        <f>5446*2</f>
        <v>10892</v>
      </c>
      <c r="P9" s="47"/>
      <c r="Q9" s="48">
        <f>+I9+M9-O9</f>
        <v>43856</v>
      </c>
      <c r="R9" s="190">
        <f>+Q9/2</f>
        <v>21928</v>
      </c>
    </row>
    <row r="10" spans="1:18" s="9" customFormat="1" ht="60" customHeight="1" thickBot="1" x14ac:dyDescent="0.3">
      <c r="A10" s="138">
        <v>165</v>
      </c>
      <c r="B10" s="139" t="s">
        <v>127</v>
      </c>
      <c r="C10" s="140" t="s">
        <v>182</v>
      </c>
      <c r="D10" s="140" t="s">
        <v>183</v>
      </c>
      <c r="E10" s="139" t="s">
        <v>158</v>
      </c>
      <c r="F10" s="141" t="s">
        <v>16</v>
      </c>
      <c r="G10" s="142">
        <v>45536</v>
      </c>
      <c r="H10" s="154">
        <v>516.86860000000001</v>
      </c>
      <c r="I10" s="143">
        <f>7841*2</f>
        <v>15682</v>
      </c>
      <c r="J10" s="155"/>
      <c r="K10" s="143">
        <f>+H10*45</f>
        <v>23259.087</v>
      </c>
      <c r="L10" s="143">
        <f>+H10*20*0.25</f>
        <v>2584.3429999999998</v>
      </c>
      <c r="M10" s="143">
        <v>0</v>
      </c>
      <c r="N10" s="156"/>
      <c r="O10" s="154">
        <f>841*2</f>
        <v>1682</v>
      </c>
      <c r="P10" s="155"/>
      <c r="Q10" s="157">
        <f>+I10+M10-O10</f>
        <v>14000</v>
      </c>
      <c r="R10" s="158">
        <v>7000</v>
      </c>
    </row>
    <row r="11" spans="1:18" ht="30" customHeight="1" thickBot="1" x14ac:dyDescent="0.3">
      <c r="A11" s="7"/>
      <c r="B11" s="55" t="s">
        <v>19</v>
      </c>
      <c r="C11" s="55"/>
      <c r="D11" s="55"/>
      <c r="E11" s="56"/>
      <c r="F11" s="4"/>
      <c r="G11" s="104"/>
      <c r="H11" s="57"/>
      <c r="I11" s="4"/>
      <c r="J11" s="57"/>
      <c r="K11" s="57"/>
      <c r="L11" s="57"/>
      <c r="M11" s="13"/>
      <c r="N11" s="13"/>
      <c r="O11" s="13"/>
      <c r="P11" s="13"/>
      <c r="Q11" s="13"/>
      <c r="R11" s="130"/>
    </row>
    <row r="12" spans="1:18" ht="30" customHeight="1" thickBot="1" x14ac:dyDescent="0.3">
      <c r="A12" s="7"/>
      <c r="B12" s="55" t="s">
        <v>20</v>
      </c>
      <c r="C12" s="55"/>
      <c r="D12" s="55"/>
      <c r="E12" s="56"/>
      <c r="F12" s="218" t="s">
        <v>18</v>
      </c>
      <c r="G12" s="219"/>
      <c r="H12" s="219"/>
      <c r="I12" s="17">
        <f>+I9+I10</f>
        <v>70430</v>
      </c>
      <c r="J12" s="17">
        <f t="shared" ref="J12:R12" si="0">+J9+J10</f>
        <v>0</v>
      </c>
      <c r="K12" s="17">
        <f t="shared" si="0"/>
        <v>104299.25850000001</v>
      </c>
      <c r="L12" s="17">
        <f t="shared" si="0"/>
        <v>11588.806499999999</v>
      </c>
      <c r="M12" s="17">
        <f t="shared" si="0"/>
        <v>0</v>
      </c>
      <c r="N12" s="17">
        <f t="shared" si="0"/>
        <v>0</v>
      </c>
      <c r="O12" s="17">
        <f t="shared" si="0"/>
        <v>12574</v>
      </c>
      <c r="P12" s="17">
        <f t="shared" si="0"/>
        <v>0</v>
      </c>
      <c r="Q12" s="17">
        <f t="shared" si="0"/>
        <v>57856</v>
      </c>
      <c r="R12" s="17">
        <f t="shared" si="0"/>
        <v>28928</v>
      </c>
    </row>
    <row r="13" spans="1:18" ht="30" customHeight="1" thickBot="1" x14ac:dyDescent="0.3">
      <c r="A13" s="9"/>
      <c r="B13" s="55" t="s">
        <v>21</v>
      </c>
      <c r="C13" s="55"/>
      <c r="D13" s="55"/>
      <c r="E13" s="55"/>
      <c r="F13" s="273" t="s">
        <v>445</v>
      </c>
      <c r="G13" s="274"/>
      <c r="H13" s="274"/>
      <c r="I13" s="153">
        <f>+I12*12</f>
        <v>845160</v>
      </c>
      <c r="J13" s="151">
        <v>0</v>
      </c>
      <c r="K13" s="153">
        <v>104299.25850000001</v>
      </c>
      <c r="L13" s="151">
        <v>11588.806499999999</v>
      </c>
      <c r="M13" s="153">
        <v>0</v>
      </c>
      <c r="N13" s="151">
        <v>0</v>
      </c>
      <c r="O13" s="153">
        <f>+O12*12</f>
        <v>150888</v>
      </c>
      <c r="P13" s="151">
        <f t="shared" ref="P13:R13" si="1">+P12*12</f>
        <v>0</v>
      </c>
      <c r="Q13" s="153">
        <f t="shared" si="1"/>
        <v>694272</v>
      </c>
      <c r="R13" s="152">
        <f t="shared" si="1"/>
        <v>347136</v>
      </c>
    </row>
    <row r="14" spans="1:18" ht="30" customHeight="1" x14ac:dyDescent="0.25">
      <c r="A14" s="9"/>
      <c r="B14" s="55" t="s">
        <v>22</v>
      </c>
      <c r="C14" s="55"/>
      <c r="D14" s="55"/>
      <c r="E14" s="55"/>
      <c r="F14" s="58"/>
      <c r="G14" s="10"/>
      <c r="H14" s="58"/>
      <c r="I14" s="59"/>
      <c r="J14" s="59"/>
      <c r="K14" s="59"/>
      <c r="L14" s="59"/>
      <c r="M14" s="59"/>
      <c r="N14" s="59"/>
      <c r="O14" s="59"/>
      <c r="P14" s="59"/>
      <c r="Q14" s="59"/>
      <c r="R14" s="130"/>
    </row>
    <row r="15" spans="1:18" ht="30" customHeight="1" x14ac:dyDescent="0.25">
      <c r="A15" s="9"/>
      <c r="B15" s="55" t="s">
        <v>23</v>
      </c>
      <c r="C15" s="55"/>
      <c r="D15" s="55"/>
      <c r="E15" s="55"/>
      <c r="F15" s="58"/>
      <c r="G15" s="10"/>
      <c r="H15" s="58"/>
      <c r="I15" s="59"/>
      <c r="J15" s="59"/>
      <c r="K15" s="59"/>
      <c r="L15" s="59"/>
      <c r="M15" s="59"/>
      <c r="N15" s="59"/>
      <c r="O15" s="59"/>
      <c r="P15" s="59"/>
      <c r="Q15" s="59"/>
      <c r="R15" s="130"/>
    </row>
    <row r="16" spans="1:18" ht="30" customHeight="1" x14ac:dyDescent="0.25">
      <c r="A16" s="9"/>
      <c r="B16" s="55"/>
      <c r="C16" s="55"/>
      <c r="D16" s="55"/>
      <c r="E16" s="55"/>
      <c r="F16" s="58"/>
      <c r="G16" s="10"/>
      <c r="H16" s="58"/>
      <c r="I16" s="59"/>
      <c r="J16" s="59"/>
      <c r="K16" s="59"/>
      <c r="L16" s="59"/>
      <c r="M16" s="59"/>
      <c r="N16" s="59"/>
      <c r="O16" s="59"/>
      <c r="P16" s="59"/>
      <c r="Q16" s="59"/>
      <c r="R16" s="130"/>
    </row>
    <row r="17" spans="1:18" s="12" customFormat="1" ht="30" customHeight="1" x14ac:dyDescent="0.25">
      <c r="A17" s="220" t="s">
        <v>32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130"/>
    </row>
    <row r="18" spans="1:18" s="12" customFormat="1" ht="30" customHeight="1" x14ac:dyDescent="0.25">
      <c r="A18" s="221" t="s">
        <v>0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130"/>
    </row>
    <row r="19" spans="1:18" s="12" customFormat="1" ht="30" customHeight="1" thickBot="1" x14ac:dyDescent="0.3">
      <c r="A19" s="221" t="s">
        <v>453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130"/>
    </row>
    <row r="20" spans="1:18" s="5" customFormat="1" ht="24.95" customHeight="1" x14ac:dyDescent="0.25">
      <c r="A20" s="109"/>
      <c r="B20" s="209" t="s">
        <v>66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1"/>
    </row>
    <row r="21" spans="1:18" s="5" customFormat="1" ht="24.95" customHeight="1" thickBot="1" x14ac:dyDescent="0.3">
      <c r="A21" s="110"/>
      <c r="B21" s="212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4"/>
    </row>
    <row r="22" spans="1:18" s="5" customFormat="1" ht="24.95" customHeight="1" x14ac:dyDescent="0.25">
      <c r="A22" s="279"/>
      <c r="B22" s="281" t="s">
        <v>2</v>
      </c>
      <c r="C22" s="285" t="s">
        <v>178</v>
      </c>
      <c r="D22" s="289" t="s">
        <v>179</v>
      </c>
      <c r="E22" s="283" t="s">
        <v>3</v>
      </c>
      <c r="F22" s="227" t="s">
        <v>4</v>
      </c>
      <c r="G22" s="243" t="s">
        <v>5</v>
      </c>
      <c r="H22" s="227" t="s">
        <v>6</v>
      </c>
      <c r="I22" s="227" t="s">
        <v>24</v>
      </c>
      <c r="J22" s="227" t="s">
        <v>8</v>
      </c>
      <c r="K22" s="227" t="s">
        <v>9</v>
      </c>
      <c r="L22" s="227" t="s">
        <v>10</v>
      </c>
      <c r="M22" s="227" t="s">
        <v>11</v>
      </c>
      <c r="N22" s="227" t="s">
        <v>12</v>
      </c>
      <c r="O22" s="227" t="s">
        <v>13</v>
      </c>
      <c r="P22" s="227" t="s">
        <v>14</v>
      </c>
      <c r="Q22" s="234" t="s">
        <v>15</v>
      </c>
      <c r="R22" s="230" t="s">
        <v>140</v>
      </c>
    </row>
    <row r="23" spans="1:18" s="5" customFormat="1" ht="24.95" customHeight="1" thickBot="1" x14ac:dyDescent="0.3">
      <c r="A23" s="280"/>
      <c r="B23" s="282"/>
      <c r="C23" s="286"/>
      <c r="D23" s="290"/>
      <c r="E23" s="284"/>
      <c r="F23" s="228"/>
      <c r="G23" s="244"/>
      <c r="H23" s="228"/>
      <c r="I23" s="228"/>
      <c r="J23" s="228"/>
      <c r="K23" s="228"/>
      <c r="L23" s="228"/>
      <c r="M23" s="228"/>
      <c r="N23" s="229"/>
      <c r="O23" s="229"/>
      <c r="P23" s="228"/>
      <c r="Q23" s="235"/>
      <c r="R23" s="208"/>
    </row>
    <row r="24" spans="1:18" s="25" customFormat="1" ht="60" customHeight="1" x14ac:dyDescent="0.25">
      <c r="A24" s="111">
        <v>166</v>
      </c>
      <c r="B24" s="43" t="s">
        <v>141</v>
      </c>
      <c r="C24" s="100" t="s">
        <v>184</v>
      </c>
      <c r="D24" s="100" t="s">
        <v>185</v>
      </c>
      <c r="E24" s="43" t="s">
        <v>25</v>
      </c>
      <c r="F24" s="35" t="s">
        <v>16</v>
      </c>
      <c r="G24" s="34">
        <v>45536</v>
      </c>
      <c r="H24" s="44">
        <v>975.76260000000002</v>
      </c>
      <c r="I24" s="45">
        <f>14832*2</f>
        <v>29664</v>
      </c>
      <c r="J24" s="46"/>
      <c r="K24" s="45">
        <f>+H24*45</f>
        <v>43909.317000000003</v>
      </c>
      <c r="L24" s="45">
        <f>+H24*20*0.25</f>
        <v>4878.8130000000001</v>
      </c>
      <c r="M24" s="45">
        <v>0</v>
      </c>
      <c r="N24" s="46"/>
      <c r="O24" s="45">
        <f>2334*2</f>
        <v>4668</v>
      </c>
      <c r="P24" s="46"/>
      <c r="Q24" s="48">
        <f>+I24-O24</f>
        <v>24996</v>
      </c>
      <c r="R24" s="94">
        <f>+Q24/2</f>
        <v>12498</v>
      </c>
    </row>
    <row r="25" spans="1:18" s="25" customFormat="1" ht="60" customHeight="1" thickBot="1" x14ac:dyDescent="0.3">
      <c r="A25" s="112">
        <v>167</v>
      </c>
      <c r="B25" s="49" t="s">
        <v>98</v>
      </c>
      <c r="C25" s="99" t="s">
        <v>186</v>
      </c>
      <c r="D25" s="99" t="s">
        <v>187</v>
      </c>
      <c r="E25" s="49" t="s">
        <v>25</v>
      </c>
      <c r="F25" s="36" t="s">
        <v>16</v>
      </c>
      <c r="G25" s="34">
        <v>45536</v>
      </c>
      <c r="H25" s="44">
        <v>975.76260000000002</v>
      </c>
      <c r="I25" s="45">
        <f t="shared" ref="I25:I30" si="2">14832*2</f>
        <v>29664</v>
      </c>
      <c r="J25" s="46"/>
      <c r="K25" s="45">
        <f t="shared" ref="K25:K30" si="3">+H25*45</f>
        <v>43909.317000000003</v>
      </c>
      <c r="L25" s="45">
        <f t="shared" ref="L25:L30" si="4">+H25*20*0.25</f>
        <v>4878.8130000000001</v>
      </c>
      <c r="M25" s="45">
        <v>0</v>
      </c>
      <c r="N25" s="46"/>
      <c r="O25" s="45">
        <f t="shared" ref="O25:O30" si="5">2334*2</f>
        <v>4668</v>
      </c>
      <c r="P25" s="46"/>
      <c r="Q25" s="48">
        <f t="shared" ref="Q25:Q30" si="6">+I25-O25</f>
        <v>24996</v>
      </c>
      <c r="R25" s="94">
        <f t="shared" ref="R25:R30" si="7">+Q25/2</f>
        <v>12498</v>
      </c>
    </row>
    <row r="26" spans="1:18" s="25" customFormat="1" ht="60" customHeight="1" x14ac:dyDescent="0.25">
      <c r="A26" s="111">
        <v>168</v>
      </c>
      <c r="B26" s="49" t="s">
        <v>99</v>
      </c>
      <c r="C26" s="99" t="s">
        <v>188</v>
      </c>
      <c r="D26" s="99" t="s">
        <v>189</v>
      </c>
      <c r="E26" s="49" t="s">
        <v>25</v>
      </c>
      <c r="F26" s="36" t="s">
        <v>16</v>
      </c>
      <c r="G26" s="34">
        <v>45536</v>
      </c>
      <c r="H26" s="44">
        <v>975.76260000000002</v>
      </c>
      <c r="I26" s="45">
        <f t="shared" si="2"/>
        <v>29664</v>
      </c>
      <c r="J26" s="46"/>
      <c r="K26" s="45">
        <f t="shared" si="3"/>
        <v>43909.317000000003</v>
      </c>
      <c r="L26" s="45">
        <f t="shared" si="4"/>
        <v>4878.8130000000001</v>
      </c>
      <c r="M26" s="45">
        <v>0</v>
      </c>
      <c r="N26" s="46"/>
      <c r="O26" s="45">
        <f t="shared" si="5"/>
        <v>4668</v>
      </c>
      <c r="P26" s="46"/>
      <c r="Q26" s="48">
        <f t="shared" si="6"/>
        <v>24996</v>
      </c>
      <c r="R26" s="94">
        <f t="shared" si="7"/>
        <v>12498</v>
      </c>
    </row>
    <row r="27" spans="1:18" s="25" customFormat="1" ht="60" customHeight="1" thickBot="1" x14ac:dyDescent="0.3">
      <c r="A27" s="112">
        <v>169</v>
      </c>
      <c r="B27" s="49" t="s">
        <v>100</v>
      </c>
      <c r="C27" s="99" t="s">
        <v>190</v>
      </c>
      <c r="D27" s="99" t="s">
        <v>191</v>
      </c>
      <c r="E27" s="49" t="s">
        <v>25</v>
      </c>
      <c r="F27" s="36" t="s">
        <v>16</v>
      </c>
      <c r="G27" s="34">
        <v>45536</v>
      </c>
      <c r="H27" s="44">
        <v>975.76260000000002</v>
      </c>
      <c r="I27" s="45">
        <f t="shared" si="2"/>
        <v>29664</v>
      </c>
      <c r="J27" s="46"/>
      <c r="K27" s="45">
        <f t="shared" si="3"/>
        <v>43909.317000000003</v>
      </c>
      <c r="L27" s="45">
        <f t="shared" si="4"/>
        <v>4878.8130000000001</v>
      </c>
      <c r="M27" s="45">
        <v>0</v>
      </c>
      <c r="N27" s="46"/>
      <c r="O27" s="45">
        <f t="shared" si="5"/>
        <v>4668</v>
      </c>
      <c r="P27" s="46"/>
      <c r="Q27" s="48">
        <f t="shared" si="6"/>
        <v>24996</v>
      </c>
      <c r="R27" s="94">
        <f t="shared" si="7"/>
        <v>12498</v>
      </c>
    </row>
    <row r="28" spans="1:18" s="25" customFormat="1" ht="60" customHeight="1" x14ac:dyDescent="0.25">
      <c r="A28" s="111">
        <v>170</v>
      </c>
      <c r="B28" s="49" t="s">
        <v>101</v>
      </c>
      <c r="C28" s="99" t="s">
        <v>192</v>
      </c>
      <c r="D28" s="99" t="s">
        <v>193</v>
      </c>
      <c r="E28" s="49" t="s">
        <v>25</v>
      </c>
      <c r="F28" s="36" t="s">
        <v>16</v>
      </c>
      <c r="G28" s="34">
        <v>45536</v>
      </c>
      <c r="H28" s="44">
        <v>975.76260000000002</v>
      </c>
      <c r="I28" s="45">
        <f t="shared" si="2"/>
        <v>29664</v>
      </c>
      <c r="J28" s="46"/>
      <c r="K28" s="45">
        <f t="shared" si="3"/>
        <v>43909.317000000003</v>
      </c>
      <c r="L28" s="45">
        <f t="shared" si="4"/>
        <v>4878.8130000000001</v>
      </c>
      <c r="M28" s="45">
        <v>0</v>
      </c>
      <c r="N28" s="46"/>
      <c r="O28" s="45">
        <f t="shared" si="5"/>
        <v>4668</v>
      </c>
      <c r="P28" s="46"/>
      <c r="Q28" s="48">
        <f t="shared" si="6"/>
        <v>24996</v>
      </c>
      <c r="R28" s="94">
        <f t="shared" si="7"/>
        <v>12498</v>
      </c>
    </row>
    <row r="29" spans="1:18" s="25" customFormat="1" ht="60" customHeight="1" thickBot="1" x14ac:dyDescent="0.3">
      <c r="A29" s="112">
        <v>171</v>
      </c>
      <c r="B29" s="49" t="s">
        <v>102</v>
      </c>
      <c r="C29" s="99" t="s">
        <v>194</v>
      </c>
      <c r="D29" s="99" t="s">
        <v>195</v>
      </c>
      <c r="E29" s="49" t="s">
        <v>25</v>
      </c>
      <c r="F29" s="36" t="s">
        <v>16</v>
      </c>
      <c r="G29" s="34">
        <v>45536</v>
      </c>
      <c r="H29" s="44">
        <v>975.76260000000002</v>
      </c>
      <c r="I29" s="45">
        <f t="shared" si="2"/>
        <v>29664</v>
      </c>
      <c r="J29" s="46"/>
      <c r="K29" s="45">
        <f t="shared" si="3"/>
        <v>43909.317000000003</v>
      </c>
      <c r="L29" s="45">
        <f t="shared" si="4"/>
        <v>4878.8130000000001</v>
      </c>
      <c r="M29" s="45">
        <v>0</v>
      </c>
      <c r="N29" s="46"/>
      <c r="O29" s="45">
        <f t="shared" si="5"/>
        <v>4668</v>
      </c>
      <c r="P29" s="46"/>
      <c r="Q29" s="48">
        <f t="shared" si="6"/>
        <v>24996</v>
      </c>
      <c r="R29" s="94">
        <f t="shared" si="7"/>
        <v>12498</v>
      </c>
    </row>
    <row r="30" spans="1:18" s="25" customFormat="1" ht="60" customHeight="1" x14ac:dyDescent="0.25">
      <c r="A30" s="111">
        <v>172</v>
      </c>
      <c r="B30" s="49" t="s">
        <v>103</v>
      </c>
      <c r="C30" s="99" t="s">
        <v>196</v>
      </c>
      <c r="D30" s="99" t="s">
        <v>197</v>
      </c>
      <c r="E30" s="49" t="s">
        <v>25</v>
      </c>
      <c r="F30" s="36" t="s">
        <v>16</v>
      </c>
      <c r="G30" s="34">
        <v>45536</v>
      </c>
      <c r="H30" s="44">
        <v>975.76260000000002</v>
      </c>
      <c r="I30" s="45">
        <f t="shared" si="2"/>
        <v>29664</v>
      </c>
      <c r="J30" s="46"/>
      <c r="K30" s="45">
        <f t="shared" si="3"/>
        <v>43909.317000000003</v>
      </c>
      <c r="L30" s="45">
        <f t="shared" si="4"/>
        <v>4878.8130000000001</v>
      </c>
      <c r="M30" s="45">
        <v>0</v>
      </c>
      <c r="N30" s="46"/>
      <c r="O30" s="45">
        <f t="shared" si="5"/>
        <v>4668</v>
      </c>
      <c r="P30" s="46"/>
      <c r="Q30" s="48">
        <f t="shared" si="6"/>
        <v>24996</v>
      </c>
      <c r="R30" s="94">
        <f t="shared" si="7"/>
        <v>12498</v>
      </c>
    </row>
    <row r="31" spans="1:18" s="25" customFormat="1" ht="60" customHeight="1" thickBot="1" x14ac:dyDescent="0.3">
      <c r="A31" s="138">
        <v>173</v>
      </c>
      <c r="B31" s="139" t="s">
        <v>104</v>
      </c>
      <c r="C31" s="140" t="s">
        <v>198</v>
      </c>
      <c r="D31" s="140" t="s">
        <v>199</v>
      </c>
      <c r="E31" s="139" t="s">
        <v>151</v>
      </c>
      <c r="F31" s="141" t="s">
        <v>17</v>
      </c>
      <c r="G31" s="142">
        <v>45536</v>
      </c>
      <c r="H31" s="90">
        <v>283.63</v>
      </c>
      <c r="I31" s="143">
        <f>4311*2</f>
        <v>8622</v>
      </c>
      <c r="J31" s="92"/>
      <c r="K31" s="91">
        <f>+H31*45</f>
        <v>12763.35</v>
      </c>
      <c r="L31" s="91">
        <f>+H31*20*0.25</f>
        <v>1418.15</v>
      </c>
      <c r="M31" s="90">
        <v>0</v>
      </c>
      <c r="N31" s="92"/>
      <c r="O31" s="90">
        <f>73*2</f>
        <v>146</v>
      </c>
      <c r="P31" s="92"/>
      <c r="Q31" s="93">
        <f>+I31+M31-O31</f>
        <v>8476</v>
      </c>
      <c r="R31" s="95">
        <f>+Q31/2</f>
        <v>4238</v>
      </c>
    </row>
    <row r="32" spans="1:18" ht="30" customHeight="1" thickBot="1" x14ac:dyDescent="0.3">
      <c r="A32" s="7"/>
      <c r="B32" s="55" t="s">
        <v>19</v>
      </c>
      <c r="C32" s="55"/>
      <c r="D32" s="55"/>
      <c r="E32" s="56"/>
      <c r="F32" s="4"/>
      <c r="G32" s="7"/>
      <c r="H32" s="4"/>
      <c r="I32" s="4"/>
      <c r="J32" s="4"/>
      <c r="K32" s="4"/>
      <c r="L32" s="4"/>
      <c r="M32" s="13"/>
      <c r="N32" s="13"/>
      <c r="O32" s="13"/>
      <c r="P32" s="13"/>
      <c r="Q32" s="13"/>
      <c r="R32" s="130"/>
    </row>
    <row r="33" spans="1:18" ht="30" customHeight="1" thickBot="1" x14ac:dyDescent="0.3">
      <c r="A33" s="7"/>
      <c r="B33" s="55" t="s">
        <v>20</v>
      </c>
      <c r="C33" s="55"/>
      <c r="D33" s="55"/>
      <c r="E33" s="56"/>
      <c r="F33" s="218" t="s">
        <v>18</v>
      </c>
      <c r="G33" s="219"/>
      <c r="H33" s="255"/>
      <c r="I33" s="153">
        <f>+I24+I25+I26+I27+I28+I29+I30+I31</f>
        <v>216270</v>
      </c>
      <c r="J33" s="151">
        <f t="shared" ref="J33:R33" si="8">+J24+J25+J26+J27+J28+J29+J30+J31</f>
        <v>0</v>
      </c>
      <c r="K33" s="153">
        <f t="shared" si="8"/>
        <v>320128.56899999996</v>
      </c>
      <c r="L33" s="151">
        <f t="shared" si="8"/>
        <v>35569.841000000008</v>
      </c>
      <c r="M33" s="153">
        <f t="shared" si="8"/>
        <v>0</v>
      </c>
      <c r="N33" s="151">
        <f t="shared" si="8"/>
        <v>0</v>
      </c>
      <c r="O33" s="153">
        <f t="shared" si="8"/>
        <v>32822</v>
      </c>
      <c r="P33" s="151">
        <f t="shared" si="8"/>
        <v>0</v>
      </c>
      <c r="Q33" s="153">
        <f t="shared" si="8"/>
        <v>183448</v>
      </c>
      <c r="R33" s="152">
        <f t="shared" si="8"/>
        <v>91724</v>
      </c>
    </row>
    <row r="34" spans="1:18" ht="30" customHeight="1" thickBot="1" x14ac:dyDescent="0.3">
      <c r="A34" s="9"/>
      <c r="B34" s="55" t="s">
        <v>21</v>
      </c>
      <c r="C34" s="55"/>
      <c r="D34" s="55"/>
      <c r="E34" s="55"/>
      <c r="F34" s="275" t="s">
        <v>445</v>
      </c>
      <c r="G34" s="276"/>
      <c r="H34" s="276"/>
      <c r="I34" s="167">
        <f>+I33*12</f>
        <v>2595240</v>
      </c>
      <c r="J34" s="165">
        <f t="shared" ref="J34:R34" si="9">+J33*12</f>
        <v>0</v>
      </c>
      <c r="K34" s="167">
        <f>+K33</f>
        <v>320128.56899999996</v>
      </c>
      <c r="L34" s="165">
        <f>+L33</f>
        <v>35569.841000000008</v>
      </c>
      <c r="M34" s="167">
        <f t="shared" si="9"/>
        <v>0</v>
      </c>
      <c r="N34" s="165">
        <f t="shared" si="9"/>
        <v>0</v>
      </c>
      <c r="O34" s="167">
        <f t="shared" si="9"/>
        <v>393864</v>
      </c>
      <c r="P34" s="165">
        <f t="shared" si="9"/>
        <v>0</v>
      </c>
      <c r="Q34" s="167">
        <f t="shared" si="9"/>
        <v>2201376</v>
      </c>
      <c r="R34" s="166">
        <f t="shared" si="9"/>
        <v>1100688</v>
      </c>
    </row>
    <row r="35" spans="1:18" ht="30" customHeight="1" x14ac:dyDescent="0.25">
      <c r="A35" s="9"/>
      <c r="B35" s="55" t="s">
        <v>22</v>
      </c>
      <c r="C35" s="55"/>
      <c r="D35" s="55"/>
      <c r="E35" s="55"/>
      <c r="F35" s="58"/>
      <c r="G35" s="10"/>
      <c r="H35" s="64"/>
      <c r="I35" s="59"/>
      <c r="J35" s="59"/>
      <c r="K35" s="59"/>
      <c r="L35" s="59"/>
      <c r="M35" s="59"/>
      <c r="N35" s="59"/>
      <c r="O35" s="59"/>
      <c r="P35" s="59"/>
      <c r="Q35" s="59"/>
      <c r="R35" s="130"/>
    </row>
    <row r="36" spans="1:18" ht="30" customHeight="1" x14ac:dyDescent="0.25">
      <c r="A36" s="9"/>
      <c r="B36" s="55" t="s">
        <v>23</v>
      </c>
      <c r="C36" s="55"/>
      <c r="D36" s="55"/>
      <c r="E36" s="55"/>
      <c r="F36" s="58"/>
      <c r="G36" s="10"/>
      <c r="H36" s="58"/>
      <c r="I36" s="59"/>
      <c r="J36" s="59"/>
      <c r="K36" s="59"/>
      <c r="L36" s="59"/>
      <c r="M36" s="59"/>
      <c r="N36" s="59"/>
      <c r="O36" s="59"/>
      <c r="P36" s="59"/>
      <c r="Q36" s="59"/>
      <c r="R36" s="130"/>
    </row>
    <row r="37" spans="1:18" ht="30" customHeight="1" x14ac:dyDescent="0.25">
      <c r="A37" s="9"/>
      <c r="B37" s="55" t="s">
        <v>549</v>
      </c>
      <c r="C37" s="55"/>
      <c r="D37" s="55"/>
      <c r="E37" s="55"/>
      <c r="F37" s="58"/>
      <c r="G37" s="10"/>
      <c r="H37" s="58"/>
      <c r="I37" s="59"/>
      <c r="J37" s="59"/>
      <c r="K37" s="59"/>
      <c r="L37" s="59"/>
      <c r="M37" s="59"/>
      <c r="N37" s="59"/>
      <c r="O37" s="59"/>
      <c r="P37" s="59"/>
      <c r="Q37" s="59"/>
      <c r="R37" s="130"/>
    </row>
    <row r="38" spans="1:18" ht="30" customHeight="1" x14ac:dyDescent="0.25">
      <c r="A38" s="9"/>
      <c r="B38" s="55"/>
      <c r="C38" s="55"/>
      <c r="D38" s="55"/>
      <c r="E38" s="55"/>
      <c r="F38" s="58"/>
      <c r="G38" s="10"/>
      <c r="H38" s="58"/>
      <c r="I38" s="59"/>
      <c r="J38" s="59"/>
      <c r="K38" s="59"/>
      <c r="L38" s="59"/>
      <c r="M38" s="59"/>
      <c r="N38" s="59"/>
      <c r="O38" s="59"/>
      <c r="P38" s="59"/>
      <c r="Q38" s="59"/>
      <c r="R38" s="130"/>
    </row>
    <row r="39" spans="1:18" s="12" customFormat="1" ht="30" customHeight="1" x14ac:dyDescent="0.25">
      <c r="A39" s="220" t="s">
        <v>32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130"/>
    </row>
    <row r="40" spans="1:18" s="12" customFormat="1" ht="30" customHeight="1" x14ac:dyDescent="0.25">
      <c r="A40" s="221" t="s">
        <v>0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130"/>
    </row>
    <row r="41" spans="1:18" s="12" customFormat="1" ht="30" customHeight="1" thickBot="1" x14ac:dyDescent="0.3">
      <c r="A41" s="221" t="s">
        <v>453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130"/>
    </row>
    <row r="42" spans="1:18" s="5" customFormat="1" ht="24.75" customHeight="1" x14ac:dyDescent="0.25">
      <c r="A42" s="109"/>
      <c r="B42" s="247" t="s">
        <v>67</v>
      </c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</row>
    <row r="43" spans="1:18" s="5" customFormat="1" ht="24.95" customHeight="1" thickBot="1" x14ac:dyDescent="0.3">
      <c r="A43" s="110"/>
      <c r="B43" s="249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</row>
    <row r="44" spans="1:18" s="5" customFormat="1" ht="24.95" customHeight="1" x14ac:dyDescent="0.25">
      <c r="A44" s="237"/>
      <c r="B44" s="259" t="s">
        <v>2</v>
      </c>
      <c r="C44" s="267" t="s">
        <v>178</v>
      </c>
      <c r="D44" s="267" t="s">
        <v>179</v>
      </c>
      <c r="E44" s="259" t="s">
        <v>3</v>
      </c>
      <c r="F44" s="256" t="s">
        <v>4</v>
      </c>
      <c r="G44" s="260" t="s">
        <v>5</v>
      </c>
      <c r="H44" s="256" t="s">
        <v>6</v>
      </c>
      <c r="I44" s="256" t="s">
        <v>7</v>
      </c>
      <c r="J44" s="256" t="s">
        <v>8</v>
      </c>
      <c r="K44" s="256" t="s">
        <v>9</v>
      </c>
      <c r="L44" s="256" t="s">
        <v>10</v>
      </c>
      <c r="M44" s="256" t="s">
        <v>11</v>
      </c>
      <c r="N44" s="256" t="s">
        <v>12</v>
      </c>
      <c r="O44" s="256" t="s">
        <v>13</v>
      </c>
      <c r="P44" s="256" t="s">
        <v>14</v>
      </c>
      <c r="Q44" s="266" t="s">
        <v>15</v>
      </c>
      <c r="R44" s="208" t="s">
        <v>140</v>
      </c>
    </row>
    <row r="45" spans="1:18" s="5" customFormat="1" ht="24.95" customHeight="1" thickBot="1" x14ac:dyDescent="0.3">
      <c r="A45" s="238"/>
      <c r="B45" s="242"/>
      <c r="C45" s="270"/>
      <c r="D45" s="270"/>
      <c r="E45" s="241"/>
      <c r="F45" s="228"/>
      <c r="G45" s="244"/>
      <c r="H45" s="228"/>
      <c r="I45" s="228"/>
      <c r="J45" s="228"/>
      <c r="K45" s="228"/>
      <c r="L45" s="228"/>
      <c r="M45" s="228"/>
      <c r="N45" s="229"/>
      <c r="O45" s="229"/>
      <c r="P45" s="228"/>
      <c r="Q45" s="235"/>
      <c r="R45" s="208"/>
    </row>
    <row r="46" spans="1:18" s="25" customFormat="1" ht="60" customHeight="1" x14ac:dyDescent="0.25">
      <c r="A46" s="29">
        <v>1</v>
      </c>
      <c r="B46" s="43" t="s">
        <v>33</v>
      </c>
      <c r="C46" s="99" t="s">
        <v>200</v>
      </c>
      <c r="D46" s="99" t="s">
        <v>201</v>
      </c>
      <c r="E46" s="43" t="s">
        <v>151</v>
      </c>
      <c r="F46" s="35" t="s">
        <v>35</v>
      </c>
      <c r="G46" s="30">
        <v>32874</v>
      </c>
      <c r="H46" s="60">
        <v>283.63</v>
      </c>
      <c r="I46" s="52">
        <f>4311*2</f>
        <v>8622</v>
      </c>
      <c r="J46" s="61"/>
      <c r="K46" s="62">
        <f>+H46*65</f>
        <v>18435.95</v>
      </c>
      <c r="L46" s="62">
        <f>+H46*26*0.42</f>
        <v>3097.2395999999999</v>
      </c>
      <c r="M46" s="60">
        <v>0</v>
      </c>
      <c r="N46" s="61"/>
      <c r="O46" s="60">
        <f>73*2</f>
        <v>146</v>
      </c>
      <c r="P46" s="61"/>
      <c r="Q46" s="63">
        <f>+I46+M46-O46</f>
        <v>8476</v>
      </c>
      <c r="R46" s="101">
        <f>+Q46/2</f>
        <v>4238</v>
      </c>
    </row>
    <row r="47" spans="1:18" s="25" customFormat="1" ht="60" customHeight="1" x14ac:dyDescent="0.25">
      <c r="A47" s="29">
        <v>175</v>
      </c>
      <c r="B47" s="65" t="s">
        <v>142</v>
      </c>
      <c r="C47" s="99" t="s">
        <v>202</v>
      </c>
      <c r="D47" s="99" t="s">
        <v>203</v>
      </c>
      <c r="E47" s="43" t="s">
        <v>172</v>
      </c>
      <c r="F47" s="35" t="s">
        <v>17</v>
      </c>
      <c r="G47" s="34">
        <v>45536</v>
      </c>
      <c r="H47" s="60">
        <v>283.63</v>
      </c>
      <c r="I47" s="52">
        <f>4311*2</f>
        <v>8622</v>
      </c>
      <c r="J47" s="61"/>
      <c r="K47" s="62">
        <f>+H47*45</f>
        <v>12763.35</v>
      </c>
      <c r="L47" s="62">
        <f>+H47*20*0.25</f>
        <v>1418.15</v>
      </c>
      <c r="M47" s="60">
        <v>0</v>
      </c>
      <c r="N47" s="61"/>
      <c r="O47" s="60">
        <f>73*2</f>
        <v>146</v>
      </c>
      <c r="P47" s="61"/>
      <c r="Q47" s="63">
        <f>+I47+M47-O47</f>
        <v>8476</v>
      </c>
      <c r="R47" s="101">
        <f>+Q47/2</f>
        <v>4238</v>
      </c>
    </row>
    <row r="48" spans="1:18" s="25" customFormat="1" ht="60" customHeight="1" x14ac:dyDescent="0.25">
      <c r="A48" s="103">
        <v>176</v>
      </c>
      <c r="B48" s="49" t="s">
        <v>120</v>
      </c>
      <c r="C48" s="99" t="s">
        <v>204</v>
      </c>
      <c r="D48" s="99" t="s">
        <v>205</v>
      </c>
      <c r="E48" s="49" t="s">
        <v>34</v>
      </c>
      <c r="F48" s="36" t="s">
        <v>16</v>
      </c>
      <c r="G48" s="34">
        <v>45536</v>
      </c>
      <c r="H48" s="50">
        <v>556.02269999999999</v>
      </c>
      <c r="I48" s="52">
        <f>8452*2</f>
        <v>16904</v>
      </c>
      <c r="J48" s="51"/>
      <c r="K48" s="52">
        <f>+H48*45</f>
        <v>25021.021499999999</v>
      </c>
      <c r="L48" s="52">
        <f>+H48*20*0.25</f>
        <v>2780.1134999999999</v>
      </c>
      <c r="M48" s="52">
        <v>0</v>
      </c>
      <c r="N48" s="53"/>
      <c r="O48" s="50">
        <f>971*2</f>
        <v>1942</v>
      </c>
      <c r="P48" s="51"/>
      <c r="Q48" s="54">
        <f>+I48+M48-O48</f>
        <v>14962</v>
      </c>
      <c r="R48" s="101">
        <f>+Q48/2</f>
        <v>7481</v>
      </c>
    </row>
    <row r="49" spans="1:18" s="6" customFormat="1" ht="30" customHeight="1" thickBot="1" x14ac:dyDescent="0.3">
      <c r="A49" s="7"/>
      <c r="B49" s="55" t="s">
        <v>19</v>
      </c>
      <c r="C49" s="55"/>
      <c r="D49" s="55"/>
      <c r="E49" s="55"/>
      <c r="F49" s="4"/>
      <c r="G49" s="7"/>
      <c r="H49" s="4"/>
      <c r="I49" s="4"/>
      <c r="J49" s="4"/>
      <c r="K49" s="4"/>
      <c r="L49" s="4"/>
      <c r="M49" s="13"/>
      <c r="N49" s="13"/>
      <c r="O49" s="13"/>
      <c r="P49" s="13"/>
      <c r="Q49" s="13"/>
      <c r="R49" s="130"/>
    </row>
    <row r="50" spans="1:18" s="6" customFormat="1" ht="30" customHeight="1" thickBot="1" x14ac:dyDescent="0.3">
      <c r="A50" s="7"/>
      <c r="B50" s="55" t="s">
        <v>20</v>
      </c>
      <c r="C50" s="55"/>
      <c r="D50" s="55"/>
      <c r="E50" s="55"/>
      <c r="F50" s="218" t="s">
        <v>18</v>
      </c>
      <c r="G50" s="219"/>
      <c r="H50" s="255"/>
      <c r="I50" s="153">
        <f>+I46+I47+I48</f>
        <v>34148</v>
      </c>
      <c r="J50" s="151">
        <f t="shared" ref="J50:R50" si="10">+J46+J47+J48</f>
        <v>0</v>
      </c>
      <c r="K50" s="153">
        <f t="shared" si="10"/>
        <v>56220.321500000005</v>
      </c>
      <c r="L50" s="151">
        <f t="shared" si="10"/>
        <v>7295.5030999999999</v>
      </c>
      <c r="M50" s="153">
        <f t="shared" si="10"/>
        <v>0</v>
      </c>
      <c r="N50" s="151">
        <f t="shared" si="10"/>
        <v>0</v>
      </c>
      <c r="O50" s="153">
        <f t="shared" si="10"/>
        <v>2234</v>
      </c>
      <c r="P50" s="151">
        <f t="shared" si="10"/>
        <v>0</v>
      </c>
      <c r="Q50" s="153">
        <f t="shared" si="10"/>
        <v>31914</v>
      </c>
      <c r="R50" s="152">
        <f t="shared" si="10"/>
        <v>15957</v>
      </c>
    </row>
    <row r="51" spans="1:18" s="6" customFormat="1" ht="30" customHeight="1" thickBot="1" x14ac:dyDescent="0.3">
      <c r="A51" s="7"/>
      <c r="B51" s="55" t="s">
        <v>21</v>
      </c>
      <c r="C51" s="55"/>
      <c r="D51" s="55"/>
      <c r="E51" s="55"/>
      <c r="F51" s="273" t="s">
        <v>445</v>
      </c>
      <c r="G51" s="274"/>
      <c r="H51" s="274"/>
      <c r="I51" s="172">
        <f>+I50*12</f>
        <v>409776</v>
      </c>
      <c r="J51" s="170">
        <f t="shared" ref="J51:R51" si="11">+J50*12</f>
        <v>0</v>
      </c>
      <c r="K51" s="172">
        <f>+K50</f>
        <v>56220.321500000005</v>
      </c>
      <c r="L51" s="170">
        <f>+L50</f>
        <v>7295.5030999999999</v>
      </c>
      <c r="M51" s="172">
        <f t="shared" si="11"/>
        <v>0</v>
      </c>
      <c r="N51" s="170">
        <f t="shared" si="11"/>
        <v>0</v>
      </c>
      <c r="O51" s="172">
        <f t="shared" si="11"/>
        <v>26808</v>
      </c>
      <c r="P51" s="170">
        <f t="shared" si="11"/>
        <v>0</v>
      </c>
      <c r="Q51" s="172">
        <f t="shared" si="11"/>
        <v>382968</v>
      </c>
      <c r="R51" s="171">
        <f t="shared" si="11"/>
        <v>191484</v>
      </c>
    </row>
    <row r="52" spans="1:18" s="6" customFormat="1" ht="30" customHeight="1" x14ac:dyDescent="0.25">
      <c r="A52" s="7"/>
      <c r="B52" s="55" t="s">
        <v>22</v>
      </c>
      <c r="C52" s="55"/>
      <c r="D52" s="55"/>
      <c r="E52" s="55"/>
      <c r="F52" s="66"/>
      <c r="G52" s="105"/>
      <c r="H52" s="66"/>
      <c r="I52" s="13"/>
      <c r="J52" s="13"/>
      <c r="K52" s="13"/>
      <c r="L52" s="13"/>
      <c r="M52" s="13"/>
      <c r="N52" s="13"/>
      <c r="O52" s="13"/>
      <c r="P52" s="13"/>
      <c r="Q52" s="13"/>
      <c r="R52" s="130"/>
    </row>
    <row r="53" spans="1:18" s="6" customFormat="1" ht="30" customHeight="1" x14ac:dyDescent="0.25">
      <c r="A53" s="7"/>
      <c r="B53" s="55" t="s">
        <v>23</v>
      </c>
      <c r="C53" s="55"/>
      <c r="D53" s="55"/>
      <c r="E53" s="55"/>
      <c r="F53" s="66"/>
      <c r="G53" s="105"/>
      <c r="H53" s="66"/>
      <c r="I53" s="13"/>
      <c r="J53" s="13"/>
      <c r="K53" s="13"/>
      <c r="L53" s="13"/>
      <c r="M53" s="13"/>
      <c r="N53" s="13"/>
      <c r="O53" s="13"/>
      <c r="P53" s="13"/>
      <c r="Q53" s="13"/>
      <c r="R53" s="130"/>
    </row>
    <row r="54" spans="1:18" s="6" customFormat="1" ht="30" customHeight="1" x14ac:dyDescent="0.25">
      <c r="A54" s="7"/>
      <c r="B54" s="55" t="s">
        <v>549</v>
      </c>
      <c r="C54" s="55"/>
      <c r="D54" s="55"/>
      <c r="E54" s="55"/>
      <c r="F54" s="66"/>
      <c r="G54" s="105"/>
      <c r="H54" s="66"/>
      <c r="I54" s="13"/>
      <c r="J54" s="13"/>
      <c r="K54" s="13"/>
      <c r="L54" s="13"/>
      <c r="M54" s="13"/>
      <c r="N54" s="13"/>
      <c r="O54" s="13"/>
      <c r="P54" s="13"/>
      <c r="Q54" s="13"/>
      <c r="R54" s="130"/>
    </row>
    <row r="55" spans="1:18" s="6" customFormat="1" ht="30" customHeight="1" x14ac:dyDescent="0.25">
      <c r="A55" s="7"/>
      <c r="B55" s="55"/>
      <c r="C55" s="55"/>
      <c r="D55" s="55"/>
      <c r="E55" s="55"/>
      <c r="F55" s="66"/>
      <c r="G55" s="105"/>
      <c r="H55" s="66"/>
      <c r="I55" s="13"/>
      <c r="J55" s="13"/>
      <c r="K55" s="13"/>
      <c r="L55" s="13"/>
      <c r="M55" s="13"/>
      <c r="N55" s="13"/>
      <c r="O55" s="13"/>
      <c r="P55" s="13"/>
      <c r="Q55" s="13"/>
      <c r="R55" s="130"/>
    </row>
    <row r="56" spans="1:18" s="12" customFormat="1" ht="30" customHeight="1" x14ac:dyDescent="0.25">
      <c r="A56" s="220" t="s">
        <v>32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130"/>
    </row>
    <row r="57" spans="1:18" s="12" customFormat="1" ht="30" customHeight="1" x14ac:dyDescent="0.25">
      <c r="A57" s="221" t="s">
        <v>0</v>
      </c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130"/>
    </row>
    <row r="58" spans="1:18" s="12" customFormat="1" ht="30" customHeight="1" thickBot="1" x14ac:dyDescent="0.3">
      <c r="A58" s="221" t="s">
        <v>453</v>
      </c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130"/>
    </row>
    <row r="59" spans="1:18" s="5" customFormat="1" ht="24.95" customHeight="1" x14ac:dyDescent="0.25">
      <c r="A59" s="113"/>
      <c r="B59" s="247" t="s">
        <v>68</v>
      </c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R59" s="251"/>
    </row>
    <row r="60" spans="1:18" s="5" customFormat="1" ht="24.95" customHeight="1" thickBot="1" x14ac:dyDescent="0.3">
      <c r="A60" s="114"/>
      <c r="B60" s="249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2"/>
    </row>
    <row r="61" spans="1:18" s="5" customFormat="1" ht="24.95" customHeight="1" x14ac:dyDescent="0.25">
      <c r="A61" s="257"/>
      <c r="B61" s="259" t="s">
        <v>2</v>
      </c>
      <c r="C61" s="267" t="s">
        <v>178</v>
      </c>
      <c r="D61" s="267" t="s">
        <v>179</v>
      </c>
      <c r="E61" s="259" t="s">
        <v>3</v>
      </c>
      <c r="F61" s="256" t="s">
        <v>4</v>
      </c>
      <c r="G61" s="260" t="s">
        <v>5</v>
      </c>
      <c r="H61" s="256" t="s">
        <v>6</v>
      </c>
      <c r="I61" s="256" t="s">
        <v>7</v>
      </c>
      <c r="J61" s="256" t="s">
        <v>8</v>
      </c>
      <c r="K61" s="256" t="s">
        <v>9</v>
      </c>
      <c r="L61" s="256" t="s">
        <v>10</v>
      </c>
      <c r="M61" s="256" t="s">
        <v>11</v>
      </c>
      <c r="N61" s="256" t="s">
        <v>12</v>
      </c>
      <c r="O61" s="256" t="s">
        <v>13</v>
      </c>
      <c r="P61" s="256" t="s">
        <v>14</v>
      </c>
      <c r="Q61" s="266" t="s">
        <v>15</v>
      </c>
      <c r="R61" s="208" t="s">
        <v>140</v>
      </c>
    </row>
    <row r="62" spans="1:18" s="5" customFormat="1" ht="24.95" customHeight="1" thickBot="1" x14ac:dyDescent="0.3">
      <c r="A62" s="258"/>
      <c r="B62" s="242"/>
      <c r="C62" s="270"/>
      <c r="D62" s="270"/>
      <c r="E62" s="241"/>
      <c r="F62" s="228"/>
      <c r="G62" s="244"/>
      <c r="H62" s="228"/>
      <c r="I62" s="228"/>
      <c r="J62" s="228"/>
      <c r="K62" s="228"/>
      <c r="L62" s="228"/>
      <c r="M62" s="228"/>
      <c r="N62" s="229"/>
      <c r="O62" s="229"/>
      <c r="P62" s="228"/>
      <c r="Q62" s="235"/>
      <c r="R62" s="208"/>
    </row>
    <row r="63" spans="1:18" s="25" customFormat="1" ht="60" customHeight="1" x14ac:dyDescent="0.25">
      <c r="A63" s="103">
        <v>177</v>
      </c>
      <c r="B63" s="49" t="s">
        <v>117</v>
      </c>
      <c r="C63" s="99" t="s">
        <v>206</v>
      </c>
      <c r="D63" s="99" t="s">
        <v>207</v>
      </c>
      <c r="E63" s="49" t="s">
        <v>83</v>
      </c>
      <c r="F63" s="36" t="s">
        <v>16</v>
      </c>
      <c r="G63" s="34">
        <v>45536</v>
      </c>
      <c r="H63" s="50">
        <v>991.4085</v>
      </c>
      <c r="I63" s="62">
        <f>15069*2</f>
        <v>30138</v>
      </c>
      <c r="J63" s="51"/>
      <c r="K63" s="62">
        <f t="shared" ref="K63:K66" si="12">+H63*45</f>
        <v>44613.3825</v>
      </c>
      <c r="L63" s="62">
        <f t="shared" ref="L63:L66" si="13">+H63*20*0.25</f>
        <v>4957.0424999999996</v>
      </c>
      <c r="M63" s="52">
        <v>0</v>
      </c>
      <c r="N63" s="51"/>
      <c r="O63" s="50">
        <f>2385*2</f>
        <v>4770</v>
      </c>
      <c r="P63" s="51"/>
      <c r="Q63" s="54">
        <f t="shared" ref="Q63:Q68" si="14">+I63-O63</f>
        <v>25368</v>
      </c>
      <c r="R63" s="101">
        <f t="shared" ref="R63:R66" si="15">+Q63/2</f>
        <v>12684</v>
      </c>
    </row>
    <row r="64" spans="1:18" s="25" customFormat="1" ht="60" customHeight="1" x14ac:dyDescent="0.25">
      <c r="A64" s="29">
        <v>26</v>
      </c>
      <c r="B64" s="43" t="s">
        <v>36</v>
      </c>
      <c r="C64" s="99" t="s">
        <v>212</v>
      </c>
      <c r="D64" s="99" t="s">
        <v>213</v>
      </c>
      <c r="E64" s="43" t="s">
        <v>37</v>
      </c>
      <c r="F64" s="35" t="s">
        <v>17</v>
      </c>
      <c r="G64" s="30">
        <v>45536</v>
      </c>
      <c r="H64" s="50">
        <v>475.49</v>
      </c>
      <c r="I64" s="62">
        <f>7227*2</f>
        <v>14454</v>
      </c>
      <c r="J64" s="51"/>
      <c r="K64" s="62">
        <f t="shared" si="12"/>
        <v>21397.05</v>
      </c>
      <c r="L64" s="62">
        <f t="shared" si="13"/>
        <v>2377.4499999999998</v>
      </c>
      <c r="M64" s="52">
        <v>0</v>
      </c>
      <c r="N64" s="51"/>
      <c r="O64" s="50">
        <f>727*2</f>
        <v>1454</v>
      </c>
      <c r="P64" s="51"/>
      <c r="Q64" s="54">
        <f t="shared" si="14"/>
        <v>13000</v>
      </c>
      <c r="R64" s="101">
        <f t="shared" si="15"/>
        <v>6500</v>
      </c>
    </row>
    <row r="65" spans="1:18" s="25" customFormat="1" ht="60" customHeight="1" x14ac:dyDescent="0.25">
      <c r="A65" s="103">
        <v>178</v>
      </c>
      <c r="B65" s="49" t="s">
        <v>118</v>
      </c>
      <c r="C65" s="99" t="s">
        <v>208</v>
      </c>
      <c r="D65" s="99" t="s">
        <v>209</v>
      </c>
      <c r="E65" s="49" t="s">
        <v>38</v>
      </c>
      <c r="F65" s="36" t="s">
        <v>17</v>
      </c>
      <c r="G65" s="34">
        <v>45536</v>
      </c>
      <c r="H65" s="50">
        <v>595.60149999999999</v>
      </c>
      <c r="I65" s="62">
        <f>9053*2</f>
        <v>18106</v>
      </c>
      <c r="J65" s="51"/>
      <c r="K65" s="62">
        <f t="shared" si="12"/>
        <v>26802.067500000001</v>
      </c>
      <c r="L65" s="62">
        <f t="shared" si="13"/>
        <v>2978.0074999999997</v>
      </c>
      <c r="M65" s="52">
        <v>0</v>
      </c>
      <c r="N65" s="51"/>
      <c r="O65" s="50">
        <f>1100*2</f>
        <v>2200</v>
      </c>
      <c r="P65" s="51"/>
      <c r="Q65" s="54">
        <f t="shared" si="14"/>
        <v>15906</v>
      </c>
      <c r="R65" s="101">
        <f t="shared" si="15"/>
        <v>7953</v>
      </c>
    </row>
    <row r="66" spans="1:18" s="25" customFormat="1" ht="60" customHeight="1" x14ac:dyDescent="0.25">
      <c r="A66" s="103">
        <v>113</v>
      </c>
      <c r="B66" s="294" t="s">
        <v>214</v>
      </c>
      <c r="C66" s="99" t="s">
        <v>215</v>
      </c>
      <c r="D66" s="99" t="s">
        <v>216</v>
      </c>
      <c r="E66" s="49" t="s">
        <v>217</v>
      </c>
      <c r="F66" s="36" t="s">
        <v>17</v>
      </c>
      <c r="G66" s="106">
        <v>44501</v>
      </c>
      <c r="H66" s="50">
        <v>435.37</v>
      </c>
      <c r="I66" s="62">
        <f>6618*2</f>
        <v>13236</v>
      </c>
      <c r="J66" s="51"/>
      <c r="K66" s="62">
        <f t="shared" si="12"/>
        <v>19591.650000000001</v>
      </c>
      <c r="L66" s="62">
        <f t="shared" si="13"/>
        <v>2176.85</v>
      </c>
      <c r="M66" s="52">
        <v>0</v>
      </c>
      <c r="N66" s="51"/>
      <c r="O66" s="50">
        <f>618*2</f>
        <v>1236</v>
      </c>
      <c r="P66" s="51"/>
      <c r="Q66" s="54">
        <f t="shared" si="14"/>
        <v>12000</v>
      </c>
      <c r="R66" s="101">
        <f t="shared" si="15"/>
        <v>6000</v>
      </c>
    </row>
    <row r="67" spans="1:18" s="25" customFormat="1" ht="60" customHeight="1" x14ac:dyDescent="0.25">
      <c r="A67" s="103">
        <v>179</v>
      </c>
      <c r="B67" s="49" t="s">
        <v>119</v>
      </c>
      <c r="C67" s="99" t="s">
        <v>210</v>
      </c>
      <c r="D67" s="99" t="s">
        <v>211</v>
      </c>
      <c r="E67" s="49" t="s">
        <v>39</v>
      </c>
      <c r="F67" s="36" t="s">
        <v>17</v>
      </c>
      <c r="G67" s="34">
        <v>45536</v>
      </c>
      <c r="H67" s="50">
        <v>435.37</v>
      </c>
      <c r="I67" s="62">
        <f>6618*2</f>
        <v>13236</v>
      </c>
      <c r="J67" s="51"/>
      <c r="K67" s="62">
        <f t="shared" ref="K67:K68" si="16">+H67*45</f>
        <v>19591.650000000001</v>
      </c>
      <c r="L67" s="62">
        <f t="shared" ref="L67:L69" si="17">+H67*20*0.25</f>
        <v>2176.85</v>
      </c>
      <c r="M67" s="52">
        <v>0</v>
      </c>
      <c r="N67" s="51"/>
      <c r="O67" s="50">
        <f>618*2</f>
        <v>1236</v>
      </c>
      <c r="P67" s="51"/>
      <c r="Q67" s="54">
        <f t="shared" si="14"/>
        <v>12000</v>
      </c>
      <c r="R67" s="101">
        <f t="shared" ref="R67:R68" si="18">+Q67/2</f>
        <v>6000</v>
      </c>
    </row>
    <row r="68" spans="1:18" s="25" customFormat="1" ht="60" customHeight="1" x14ac:dyDescent="0.25">
      <c r="A68" s="103">
        <v>255</v>
      </c>
      <c r="B68" s="49" t="s">
        <v>457</v>
      </c>
      <c r="C68" s="99" t="s">
        <v>458</v>
      </c>
      <c r="D68" s="99" t="s">
        <v>459</v>
      </c>
      <c r="E68" s="49" t="s">
        <v>217</v>
      </c>
      <c r="F68" s="36" t="s">
        <v>17</v>
      </c>
      <c r="G68" s="34">
        <v>46023</v>
      </c>
      <c r="H68" s="50">
        <v>435.37</v>
      </c>
      <c r="I68" s="62">
        <f>6618*2</f>
        <v>13236</v>
      </c>
      <c r="J68" s="51"/>
      <c r="K68" s="62">
        <f t="shared" si="16"/>
        <v>19591.650000000001</v>
      </c>
      <c r="L68" s="62">
        <f t="shared" si="17"/>
        <v>2176.85</v>
      </c>
      <c r="M68" s="52">
        <v>0</v>
      </c>
      <c r="N68" s="51"/>
      <c r="O68" s="50">
        <f>618*2</f>
        <v>1236</v>
      </c>
      <c r="P68" s="51"/>
      <c r="Q68" s="54">
        <f t="shared" si="14"/>
        <v>12000</v>
      </c>
      <c r="R68" s="101">
        <f t="shared" si="18"/>
        <v>6000</v>
      </c>
    </row>
    <row r="69" spans="1:18" s="25" customFormat="1" ht="60" customHeight="1" x14ac:dyDescent="0.25">
      <c r="A69" s="103">
        <v>253</v>
      </c>
      <c r="B69" s="49" t="s">
        <v>454</v>
      </c>
      <c r="C69" s="99" t="s">
        <v>455</v>
      </c>
      <c r="D69" s="99" t="s">
        <v>456</v>
      </c>
      <c r="E69" s="49" t="s">
        <v>152</v>
      </c>
      <c r="F69" s="36" t="s">
        <v>17</v>
      </c>
      <c r="G69" s="34">
        <v>45901</v>
      </c>
      <c r="H69" s="60">
        <v>283.63</v>
      </c>
      <c r="I69" s="52">
        <f>4311*2</f>
        <v>8622</v>
      </c>
      <c r="J69" s="61"/>
      <c r="K69" s="62">
        <f>+H69*45</f>
        <v>12763.35</v>
      </c>
      <c r="L69" s="62">
        <f t="shared" si="17"/>
        <v>1418.15</v>
      </c>
      <c r="M69" s="60">
        <v>0</v>
      </c>
      <c r="N69" s="61"/>
      <c r="O69" s="60">
        <f>73*2</f>
        <v>146</v>
      </c>
      <c r="P69" s="61"/>
      <c r="Q69" s="63">
        <f>+I69+M69-O69</f>
        <v>8476</v>
      </c>
      <c r="R69" s="101">
        <f>+Q69/2</f>
        <v>4238</v>
      </c>
    </row>
    <row r="70" spans="1:18" s="6" customFormat="1" ht="30" customHeight="1" thickBot="1" x14ac:dyDescent="0.3">
      <c r="A70" s="7"/>
      <c r="B70" s="55" t="s">
        <v>19</v>
      </c>
      <c r="C70" s="55"/>
      <c r="D70" s="55"/>
      <c r="E70" s="56"/>
      <c r="F70" s="4"/>
      <c r="G70" s="7"/>
      <c r="H70" s="4"/>
      <c r="I70" s="4"/>
      <c r="J70" s="4"/>
      <c r="K70" s="4"/>
      <c r="L70" s="4"/>
      <c r="M70" s="13"/>
      <c r="N70" s="13"/>
      <c r="O70" s="13"/>
      <c r="P70" s="13"/>
      <c r="Q70" s="13"/>
      <c r="R70" s="130"/>
    </row>
    <row r="71" spans="1:18" s="6" customFormat="1" ht="30" customHeight="1" thickBot="1" x14ac:dyDescent="0.3">
      <c r="A71" s="7"/>
      <c r="B71" s="55" t="s">
        <v>20</v>
      </c>
      <c r="C71" s="55"/>
      <c r="D71" s="55"/>
      <c r="E71" s="56"/>
      <c r="F71" s="218" t="s">
        <v>18</v>
      </c>
      <c r="G71" s="219"/>
      <c r="H71" s="255"/>
      <c r="I71" s="129">
        <f t="shared" ref="I71:Q71" si="19">SUM(I63:I69)</f>
        <v>111028</v>
      </c>
      <c r="J71" s="169">
        <f t="shared" si="19"/>
        <v>0</v>
      </c>
      <c r="K71" s="133">
        <f t="shared" si="19"/>
        <v>164350.79999999999</v>
      </c>
      <c r="L71" s="186">
        <f t="shared" si="19"/>
        <v>18261.2</v>
      </c>
      <c r="M71" s="129">
        <f t="shared" si="19"/>
        <v>0</v>
      </c>
      <c r="N71" s="169">
        <f t="shared" si="19"/>
        <v>0</v>
      </c>
      <c r="O71" s="129">
        <f t="shared" si="19"/>
        <v>12278</v>
      </c>
      <c r="P71" s="169">
        <f t="shared" si="19"/>
        <v>0</v>
      </c>
      <c r="Q71" s="129">
        <f t="shared" si="19"/>
        <v>98750</v>
      </c>
      <c r="R71" s="168">
        <f>SUM(R63:R69)</f>
        <v>49375</v>
      </c>
    </row>
    <row r="72" spans="1:18" ht="30" customHeight="1" thickBot="1" x14ac:dyDescent="0.3">
      <c r="A72" s="9"/>
      <c r="B72" s="55" t="s">
        <v>21</v>
      </c>
      <c r="C72" s="55"/>
      <c r="D72" s="55"/>
      <c r="E72" s="55"/>
      <c r="F72" s="275" t="s">
        <v>445</v>
      </c>
      <c r="G72" s="276"/>
      <c r="H72" s="276"/>
      <c r="I72" s="167">
        <f>+I71*12</f>
        <v>1332336</v>
      </c>
      <c r="J72" s="165">
        <f t="shared" ref="J72:R72" si="20">+J71*12</f>
        <v>0</v>
      </c>
      <c r="K72" s="167">
        <f>+K71</f>
        <v>164350.79999999999</v>
      </c>
      <c r="L72" s="165">
        <f>+L71</f>
        <v>18261.2</v>
      </c>
      <c r="M72" s="167">
        <f t="shared" si="20"/>
        <v>0</v>
      </c>
      <c r="N72" s="165">
        <f t="shared" si="20"/>
        <v>0</v>
      </c>
      <c r="O72" s="167">
        <f t="shared" si="20"/>
        <v>147336</v>
      </c>
      <c r="P72" s="165">
        <f t="shared" si="20"/>
        <v>0</v>
      </c>
      <c r="Q72" s="167">
        <f t="shared" si="20"/>
        <v>1185000</v>
      </c>
      <c r="R72" s="166">
        <f t="shared" si="20"/>
        <v>592500</v>
      </c>
    </row>
    <row r="73" spans="1:18" ht="30" customHeight="1" x14ac:dyDescent="0.25">
      <c r="A73" s="9"/>
      <c r="B73" s="55" t="s">
        <v>22</v>
      </c>
      <c r="C73" s="55"/>
      <c r="D73" s="55"/>
      <c r="E73" s="55"/>
      <c r="F73" s="58"/>
      <c r="G73" s="10"/>
      <c r="H73" s="58"/>
      <c r="I73" s="59"/>
      <c r="J73" s="59"/>
      <c r="K73" s="59"/>
      <c r="L73" s="59"/>
      <c r="M73" s="59"/>
      <c r="N73" s="59"/>
      <c r="O73" s="59"/>
      <c r="P73" s="59"/>
      <c r="Q73" s="59"/>
      <c r="R73" s="130"/>
    </row>
    <row r="74" spans="1:18" ht="30" customHeight="1" x14ac:dyDescent="0.25">
      <c r="A74" s="9"/>
      <c r="B74" s="55" t="s">
        <v>23</v>
      </c>
      <c r="C74" s="55"/>
      <c r="D74" s="55"/>
      <c r="E74" s="55"/>
      <c r="F74" s="58"/>
      <c r="G74" s="10"/>
      <c r="H74" s="58"/>
      <c r="I74" s="59"/>
      <c r="J74" s="59"/>
      <c r="K74" s="59"/>
      <c r="L74" s="59"/>
      <c r="M74" s="59"/>
      <c r="N74" s="59"/>
      <c r="O74" s="59"/>
      <c r="P74" s="59"/>
      <c r="Q74" s="59"/>
      <c r="R74" s="130"/>
    </row>
    <row r="75" spans="1:18" ht="30" customHeight="1" x14ac:dyDescent="0.25">
      <c r="A75" s="9"/>
      <c r="B75" s="55" t="s">
        <v>549</v>
      </c>
      <c r="C75" s="55"/>
      <c r="D75" s="55"/>
      <c r="E75" s="55"/>
      <c r="F75" s="58"/>
      <c r="G75" s="10"/>
      <c r="H75" s="58"/>
      <c r="I75" s="59"/>
      <c r="J75" s="59"/>
      <c r="K75" s="59"/>
      <c r="L75" s="59"/>
      <c r="M75" s="59"/>
      <c r="N75" s="59"/>
      <c r="O75" s="59"/>
      <c r="P75" s="59"/>
      <c r="Q75" s="59"/>
      <c r="R75" s="130"/>
    </row>
    <row r="76" spans="1:18" ht="30" customHeight="1" x14ac:dyDescent="0.25">
      <c r="A76" s="9"/>
      <c r="B76" s="55"/>
      <c r="C76" s="55"/>
      <c r="D76" s="55"/>
      <c r="E76" s="55"/>
      <c r="F76" s="58"/>
      <c r="G76" s="10"/>
      <c r="H76" s="58"/>
      <c r="I76" s="59"/>
      <c r="J76" s="59"/>
      <c r="K76" s="59"/>
      <c r="L76" s="59"/>
      <c r="M76" s="59"/>
      <c r="N76" s="59"/>
      <c r="O76" s="59"/>
      <c r="P76" s="59"/>
      <c r="Q76" s="59"/>
      <c r="R76" s="130"/>
    </row>
    <row r="77" spans="1:18" s="12" customFormat="1" ht="30" customHeight="1" x14ac:dyDescent="0.25">
      <c r="A77" s="220" t="s">
        <v>32</v>
      </c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130"/>
    </row>
    <row r="78" spans="1:18" s="12" customFormat="1" ht="30" customHeight="1" x14ac:dyDescent="0.25">
      <c r="A78" s="221" t="s">
        <v>0</v>
      </c>
      <c r="B78" s="221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130"/>
    </row>
    <row r="79" spans="1:18" s="12" customFormat="1" ht="30" customHeight="1" thickBot="1" x14ac:dyDescent="0.3">
      <c r="A79" s="221" t="s">
        <v>453</v>
      </c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130"/>
    </row>
    <row r="80" spans="1:18" s="5" customFormat="1" ht="24.95" customHeight="1" x14ac:dyDescent="0.25">
      <c r="A80" s="109"/>
      <c r="B80" s="248" t="s">
        <v>69</v>
      </c>
      <c r="C80" s="248"/>
      <c r="D80" s="248"/>
      <c r="E80" s="248"/>
      <c r="F80" s="248"/>
      <c r="G80" s="248"/>
      <c r="H80" s="248"/>
      <c r="I80" s="248"/>
      <c r="J80" s="248"/>
      <c r="K80" s="248"/>
      <c r="L80" s="248"/>
      <c r="M80" s="248"/>
      <c r="N80" s="248"/>
      <c r="O80" s="248"/>
      <c r="P80" s="248"/>
      <c r="Q80" s="248"/>
      <c r="R80" s="251"/>
    </row>
    <row r="81" spans="1:18" s="5" customFormat="1" ht="24.95" customHeight="1" thickBot="1" x14ac:dyDescent="0.3">
      <c r="A81" s="115"/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2"/>
    </row>
    <row r="82" spans="1:18" s="5" customFormat="1" ht="24.95" customHeight="1" x14ac:dyDescent="0.25">
      <c r="A82" s="277"/>
      <c r="B82" s="259" t="s">
        <v>2</v>
      </c>
      <c r="C82" s="267" t="s">
        <v>178</v>
      </c>
      <c r="D82" s="267" t="s">
        <v>179</v>
      </c>
      <c r="E82" s="259" t="s">
        <v>3</v>
      </c>
      <c r="F82" s="256" t="s">
        <v>4</v>
      </c>
      <c r="G82" s="260" t="s">
        <v>5</v>
      </c>
      <c r="H82" s="256" t="s">
        <v>6</v>
      </c>
      <c r="I82" s="256" t="s">
        <v>27</v>
      </c>
      <c r="J82" s="256" t="s">
        <v>8</v>
      </c>
      <c r="K82" s="256" t="s">
        <v>9</v>
      </c>
      <c r="L82" s="256" t="s">
        <v>10</v>
      </c>
      <c r="M82" s="256" t="s">
        <v>11</v>
      </c>
      <c r="N82" s="256" t="s">
        <v>12</v>
      </c>
      <c r="O82" s="256" t="s">
        <v>13</v>
      </c>
      <c r="P82" s="256" t="s">
        <v>14</v>
      </c>
      <c r="Q82" s="266" t="s">
        <v>15</v>
      </c>
      <c r="R82" s="208" t="s">
        <v>140</v>
      </c>
    </row>
    <row r="83" spans="1:18" s="5" customFormat="1" ht="24.95" customHeight="1" thickBot="1" x14ac:dyDescent="0.3">
      <c r="A83" s="278"/>
      <c r="B83" s="241"/>
      <c r="C83" s="270"/>
      <c r="D83" s="270"/>
      <c r="E83" s="241"/>
      <c r="F83" s="228"/>
      <c r="G83" s="244"/>
      <c r="H83" s="228"/>
      <c r="I83" s="228"/>
      <c r="J83" s="228"/>
      <c r="K83" s="228"/>
      <c r="L83" s="228"/>
      <c r="M83" s="228"/>
      <c r="N83" s="228"/>
      <c r="O83" s="228"/>
      <c r="P83" s="228"/>
      <c r="Q83" s="235"/>
      <c r="R83" s="208"/>
    </row>
    <row r="84" spans="1:18" s="25" customFormat="1" ht="60" customHeight="1" x14ac:dyDescent="0.25">
      <c r="A84" s="135">
        <v>180</v>
      </c>
      <c r="B84" s="43" t="s">
        <v>114</v>
      </c>
      <c r="C84" s="99" t="s">
        <v>218</v>
      </c>
      <c r="D84" s="99" t="s">
        <v>219</v>
      </c>
      <c r="E84" s="67" t="s">
        <v>28</v>
      </c>
      <c r="F84" s="35" t="s">
        <v>16</v>
      </c>
      <c r="G84" s="34">
        <v>45536</v>
      </c>
      <c r="H84" s="44">
        <v>1308.9988000000001</v>
      </c>
      <c r="I84" s="45">
        <f>19897*2</f>
        <v>39794</v>
      </c>
      <c r="J84" s="46"/>
      <c r="K84" s="45">
        <f>+H84*45</f>
        <v>58904.946000000004</v>
      </c>
      <c r="L84" s="45">
        <f>+H84*20*0.25</f>
        <v>6544.9940000000006</v>
      </c>
      <c r="M84" s="45">
        <v>0</v>
      </c>
      <c r="N84" s="47"/>
      <c r="O84" s="45">
        <f>3508*2</f>
        <v>7016</v>
      </c>
      <c r="P84" s="46"/>
      <c r="Q84" s="48">
        <f>+I84-O84</f>
        <v>32778</v>
      </c>
      <c r="R84" s="101">
        <f>+Q84/2</f>
        <v>16389</v>
      </c>
    </row>
    <row r="85" spans="1:18" s="25" customFormat="1" ht="60" customHeight="1" x14ac:dyDescent="0.25">
      <c r="A85" s="135">
        <v>181</v>
      </c>
      <c r="B85" s="43" t="s">
        <v>115</v>
      </c>
      <c r="C85" s="99" t="s">
        <v>220</v>
      </c>
      <c r="D85" s="99" t="s">
        <v>221</v>
      </c>
      <c r="E85" s="68" t="s">
        <v>151</v>
      </c>
      <c r="F85" s="35" t="s">
        <v>17</v>
      </c>
      <c r="G85" s="34">
        <v>45536</v>
      </c>
      <c r="H85" s="60">
        <v>283.63</v>
      </c>
      <c r="I85" s="52">
        <f>4311*2</f>
        <v>8622</v>
      </c>
      <c r="J85" s="61"/>
      <c r="K85" s="62">
        <f>+H85*45</f>
        <v>12763.35</v>
      </c>
      <c r="L85" s="45">
        <f t="shared" ref="L85:L86" si="21">+H85*20*0.25</f>
        <v>1418.15</v>
      </c>
      <c r="M85" s="60">
        <v>0</v>
      </c>
      <c r="N85" s="61"/>
      <c r="O85" s="60">
        <f>73*2</f>
        <v>146</v>
      </c>
      <c r="P85" s="61"/>
      <c r="Q85" s="63">
        <f>+I85+M85-O85</f>
        <v>8476</v>
      </c>
      <c r="R85" s="101">
        <f>+Q85/2</f>
        <v>4238</v>
      </c>
    </row>
    <row r="86" spans="1:18" s="25" customFormat="1" ht="60" customHeight="1" x14ac:dyDescent="0.25">
      <c r="A86" s="103">
        <v>182</v>
      </c>
      <c r="B86" s="49" t="s">
        <v>116</v>
      </c>
      <c r="C86" s="99" t="s">
        <v>222</v>
      </c>
      <c r="D86" s="99" t="s">
        <v>223</v>
      </c>
      <c r="E86" s="68" t="s">
        <v>151</v>
      </c>
      <c r="F86" s="36" t="s">
        <v>17</v>
      </c>
      <c r="G86" s="34">
        <v>45536</v>
      </c>
      <c r="H86" s="60">
        <v>283.63</v>
      </c>
      <c r="I86" s="52">
        <f>4311*2</f>
        <v>8622</v>
      </c>
      <c r="J86" s="61"/>
      <c r="K86" s="62">
        <f>+H86*45</f>
        <v>12763.35</v>
      </c>
      <c r="L86" s="45">
        <f t="shared" si="21"/>
        <v>1418.15</v>
      </c>
      <c r="M86" s="60">
        <v>0</v>
      </c>
      <c r="N86" s="61"/>
      <c r="O86" s="60">
        <f>73*2</f>
        <v>146</v>
      </c>
      <c r="P86" s="61"/>
      <c r="Q86" s="63">
        <f>+I86+M86-O86</f>
        <v>8476</v>
      </c>
      <c r="R86" s="101">
        <f>+Q86/2</f>
        <v>4238</v>
      </c>
    </row>
    <row r="87" spans="1:18" s="6" customFormat="1" ht="30" customHeight="1" thickBot="1" x14ac:dyDescent="0.3">
      <c r="A87" s="7"/>
      <c r="B87" s="55" t="s">
        <v>19</v>
      </c>
      <c r="C87" s="55"/>
      <c r="D87" s="55"/>
      <c r="E87" s="56"/>
      <c r="F87" s="4"/>
      <c r="G87" s="7"/>
      <c r="H87" s="4"/>
      <c r="I87" s="4"/>
      <c r="J87" s="4"/>
      <c r="K87" s="4"/>
      <c r="L87" s="4"/>
      <c r="M87" s="13"/>
      <c r="N87" s="13"/>
      <c r="O87" s="13"/>
      <c r="P87" s="13"/>
      <c r="Q87" s="13"/>
      <c r="R87" s="130"/>
    </row>
    <row r="88" spans="1:18" s="6" customFormat="1" ht="30" customHeight="1" thickBot="1" x14ac:dyDescent="0.3">
      <c r="A88" s="7"/>
      <c r="B88" s="55" t="s">
        <v>20</v>
      </c>
      <c r="C88" s="55"/>
      <c r="D88" s="55"/>
      <c r="E88" s="56"/>
      <c r="F88" s="218" t="s">
        <v>18</v>
      </c>
      <c r="G88" s="219"/>
      <c r="H88" s="255"/>
      <c r="I88" s="153">
        <f t="shared" ref="I88:R88" si="22">SUM(I84:I86)</f>
        <v>57038</v>
      </c>
      <c r="J88" s="151">
        <f t="shared" si="22"/>
        <v>0</v>
      </c>
      <c r="K88" s="153">
        <f t="shared" si="22"/>
        <v>84431.646000000008</v>
      </c>
      <c r="L88" s="151">
        <f t="shared" si="22"/>
        <v>9381.2939999999999</v>
      </c>
      <c r="M88" s="153">
        <f t="shared" si="22"/>
        <v>0</v>
      </c>
      <c r="N88" s="151">
        <f t="shared" si="22"/>
        <v>0</v>
      </c>
      <c r="O88" s="153">
        <f t="shared" si="22"/>
        <v>7308</v>
      </c>
      <c r="P88" s="151">
        <f t="shared" si="22"/>
        <v>0</v>
      </c>
      <c r="Q88" s="153">
        <f t="shared" si="22"/>
        <v>49730</v>
      </c>
      <c r="R88" s="152">
        <f t="shared" si="22"/>
        <v>24865</v>
      </c>
    </row>
    <row r="89" spans="1:18" ht="30" customHeight="1" thickBot="1" x14ac:dyDescent="0.3">
      <c r="A89" s="9"/>
      <c r="B89" s="55" t="s">
        <v>21</v>
      </c>
      <c r="C89" s="55"/>
      <c r="D89" s="55"/>
      <c r="E89" s="55"/>
      <c r="F89" s="275" t="s">
        <v>445</v>
      </c>
      <c r="G89" s="276"/>
      <c r="H89" s="276"/>
      <c r="I89" s="167">
        <f>+I88*12</f>
        <v>684456</v>
      </c>
      <c r="J89" s="165">
        <f t="shared" ref="J89:R89" si="23">+J88*12</f>
        <v>0</v>
      </c>
      <c r="K89" s="167">
        <f>+K88</f>
        <v>84431.646000000008</v>
      </c>
      <c r="L89" s="165">
        <f>+L88</f>
        <v>9381.2939999999999</v>
      </c>
      <c r="M89" s="167">
        <f t="shared" si="23"/>
        <v>0</v>
      </c>
      <c r="N89" s="165">
        <f t="shared" si="23"/>
        <v>0</v>
      </c>
      <c r="O89" s="167">
        <f t="shared" si="23"/>
        <v>87696</v>
      </c>
      <c r="P89" s="165">
        <f t="shared" si="23"/>
        <v>0</v>
      </c>
      <c r="Q89" s="167">
        <f t="shared" si="23"/>
        <v>596760</v>
      </c>
      <c r="R89" s="166">
        <f t="shared" si="23"/>
        <v>298380</v>
      </c>
    </row>
    <row r="90" spans="1:18" ht="30" customHeight="1" x14ac:dyDescent="0.25">
      <c r="A90" s="9"/>
      <c r="B90" s="55" t="s">
        <v>22</v>
      </c>
      <c r="C90" s="55"/>
      <c r="D90" s="55"/>
      <c r="E90" s="55"/>
      <c r="F90" s="58"/>
      <c r="G90" s="10"/>
      <c r="H90" s="58"/>
      <c r="I90" s="59"/>
      <c r="J90" s="59"/>
      <c r="K90" s="59"/>
      <c r="L90" s="59"/>
      <c r="M90" s="59"/>
      <c r="N90" s="59"/>
      <c r="O90" s="59"/>
      <c r="P90" s="59"/>
      <c r="Q90" s="59"/>
      <c r="R90" s="130"/>
    </row>
    <row r="91" spans="1:18" ht="30" customHeight="1" x14ac:dyDescent="0.25">
      <c r="A91" s="9"/>
      <c r="B91" s="55" t="s">
        <v>23</v>
      </c>
      <c r="C91" s="55"/>
      <c r="D91" s="55"/>
      <c r="E91" s="55"/>
      <c r="F91" s="58"/>
      <c r="G91" s="10"/>
      <c r="H91" s="58"/>
      <c r="I91" s="59"/>
      <c r="J91" s="59"/>
      <c r="K91" s="59"/>
      <c r="L91" s="59"/>
      <c r="M91" s="59"/>
      <c r="N91" s="59"/>
      <c r="O91" s="59"/>
      <c r="P91" s="59"/>
      <c r="Q91" s="59"/>
      <c r="R91" s="130"/>
    </row>
    <row r="92" spans="1:18" ht="30" customHeight="1" x14ac:dyDescent="0.25">
      <c r="A92" s="9"/>
      <c r="B92" s="55" t="s">
        <v>549</v>
      </c>
      <c r="C92" s="55"/>
      <c r="D92" s="55"/>
      <c r="E92" s="55"/>
      <c r="F92" s="58"/>
      <c r="G92" s="10"/>
      <c r="H92" s="58"/>
      <c r="I92" s="59"/>
      <c r="J92" s="59"/>
      <c r="K92" s="59"/>
      <c r="L92" s="59"/>
      <c r="M92" s="59"/>
      <c r="N92" s="59"/>
      <c r="O92" s="59"/>
      <c r="P92" s="59"/>
      <c r="Q92" s="59"/>
      <c r="R92" s="130"/>
    </row>
    <row r="93" spans="1:18" ht="30" customHeight="1" x14ac:dyDescent="0.25">
      <c r="A93" s="9"/>
      <c r="B93" s="55"/>
      <c r="C93" s="55"/>
      <c r="D93" s="55"/>
      <c r="E93" s="55"/>
      <c r="F93" s="58"/>
      <c r="G93" s="10"/>
      <c r="H93" s="58"/>
      <c r="I93" s="59"/>
      <c r="J93" s="59"/>
      <c r="K93" s="59"/>
      <c r="L93" s="59"/>
      <c r="M93" s="59"/>
      <c r="N93" s="59"/>
      <c r="O93" s="59"/>
      <c r="P93" s="59"/>
      <c r="Q93" s="59"/>
      <c r="R93" s="130"/>
    </row>
    <row r="94" spans="1:18" s="12" customFormat="1" ht="30" customHeight="1" x14ac:dyDescent="0.25">
      <c r="A94" s="220" t="s">
        <v>32</v>
      </c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130"/>
    </row>
    <row r="95" spans="1:18" s="12" customFormat="1" ht="30" customHeight="1" x14ac:dyDescent="0.25">
      <c r="A95" s="221" t="s">
        <v>0</v>
      </c>
      <c r="B95" s="221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130"/>
    </row>
    <row r="96" spans="1:18" s="12" customFormat="1" ht="30" customHeight="1" thickBot="1" x14ac:dyDescent="0.3">
      <c r="A96" s="221" t="s">
        <v>453</v>
      </c>
      <c r="B96" s="221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130"/>
    </row>
    <row r="97" spans="1:18" s="5" customFormat="1" ht="24.95" customHeight="1" x14ac:dyDescent="0.25">
      <c r="A97" s="109"/>
      <c r="B97" s="247" t="s">
        <v>448</v>
      </c>
      <c r="C97" s="248"/>
      <c r="D97" s="248"/>
      <c r="E97" s="248"/>
      <c r="F97" s="248"/>
      <c r="G97" s="248"/>
      <c r="H97" s="248"/>
      <c r="I97" s="248"/>
      <c r="J97" s="248"/>
      <c r="K97" s="248"/>
      <c r="L97" s="248"/>
      <c r="M97" s="248"/>
      <c r="N97" s="248"/>
      <c r="O97" s="248"/>
      <c r="P97" s="248"/>
      <c r="Q97" s="248"/>
      <c r="R97" s="248"/>
    </row>
    <row r="98" spans="1:18" s="5" customFormat="1" ht="24.95" customHeight="1" thickBot="1" x14ac:dyDescent="0.3">
      <c r="A98" s="110"/>
      <c r="B98" s="249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0"/>
    </row>
    <row r="99" spans="1:18" s="5" customFormat="1" ht="24.95" customHeight="1" x14ac:dyDescent="0.25">
      <c r="A99" s="237"/>
      <c r="B99" s="259" t="s">
        <v>2</v>
      </c>
      <c r="C99" s="267" t="s">
        <v>178</v>
      </c>
      <c r="D99" s="267" t="s">
        <v>179</v>
      </c>
      <c r="E99" s="259" t="s">
        <v>3</v>
      </c>
      <c r="F99" s="256" t="s">
        <v>4</v>
      </c>
      <c r="G99" s="260" t="s">
        <v>5</v>
      </c>
      <c r="H99" s="256" t="s">
        <v>6</v>
      </c>
      <c r="I99" s="256" t="s">
        <v>7</v>
      </c>
      <c r="J99" s="256" t="s">
        <v>8</v>
      </c>
      <c r="K99" s="256" t="s">
        <v>9</v>
      </c>
      <c r="L99" s="256" t="s">
        <v>10</v>
      </c>
      <c r="M99" s="256" t="s">
        <v>11</v>
      </c>
      <c r="N99" s="256" t="s">
        <v>12</v>
      </c>
      <c r="O99" s="256" t="s">
        <v>13</v>
      </c>
      <c r="P99" s="256" t="s">
        <v>14</v>
      </c>
      <c r="Q99" s="266" t="s">
        <v>15</v>
      </c>
      <c r="R99" s="208" t="s">
        <v>140</v>
      </c>
    </row>
    <row r="100" spans="1:18" s="5" customFormat="1" ht="24.95" customHeight="1" thickBot="1" x14ac:dyDescent="0.3">
      <c r="A100" s="238"/>
      <c r="B100" s="242"/>
      <c r="C100" s="270"/>
      <c r="D100" s="270"/>
      <c r="E100" s="241"/>
      <c r="F100" s="228"/>
      <c r="G100" s="244"/>
      <c r="H100" s="228"/>
      <c r="I100" s="228"/>
      <c r="J100" s="228"/>
      <c r="K100" s="228"/>
      <c r="L100" s="228"/>
      <c r="M100" s="228"/>
      <c r="N100" s="229"/>
      <c r="O100" s="229"/>
      <c r="P100" s="228"/>
      <c r="Q100" s="235"/>
      <c r="R100" s="208"/>
    </row>
    <row r="101" spans="1:18" s="25" customFormat="1" ht="60" customHeight="1" x14ac:dyDescent="0.25">
      <c r="A101" s="31">
        <v>183</v>
      </c>
      <c r="B101" s="70" t="s">
        <v>105</v>
      </c>
      <c r="C101" s="99" t="s">
        <v>224</v>
      </c>
      <c r="D101" s="99" t="s">
        <v>225</v>
      </c>
      <c r="E101" s="70" t="s">
        <v>155</v>
      </c>
      <c r="F101" s="69" t="s">
        <v>17</v>
      </c>
      <c r="G101" s="34">
        <v>45536</v>
      </c>
      <c r="H101" s="71">
        <v>557.64250000000004</v>
      </c>
      <c r="I101" s="72">
        <f>8476*2</f>
        <v>16952</v>
      </c>
      <c r="J101" s="73"/>
      <c r="K101" s="72">
        <f>+H101*45</f>
        <v>25093.912500000002</v>
      </c>
      <c r="L101" s="72">
        <f>+H101*20*0.25</f>
        <v>2788.2125000000001</v>
      </c>
      <c r="M101" s="62">
        <v>0</v>
      </c>
      <c r="N101" s="74"/>
      <c r="O101" s="72">
        <f>976*2</f>
        <v>1952</v>
      </c>
      <c r="P101" s="73"/>
      <c r="Q101" s="75">
        <f>+I101-O101</f>
        <v>15000</v>
      </c>
      <c r="R101" s="101">
        <f>+Q101/2</f>
        <v>7500</v>
      </c>
    </row>
    <row r="102" spans="1:18" s="25" customFormat="1" ht="60" customHeight="1" x14ac:dyDescent="0.25">
      <c r="A102" s="31">
        <v>184</v>
      </c>
      <c r="B102" s="70" t="s">
        <v>143</v>
      </c>
      <c r="C102" s="99" t="s">
        <v>226</v>
      </c>
      <c r="D102" s="99" t="s">
        <v>227</v>
      </c>
      <c r="E102" s="70" t="s">
        <v>233</v>
      </c>
      <c r="F102" s="69" t="s">
        <v>17</v>
      </c>
      <c r="G102" s="34">
        <v>45535</v>
      </c>
      <c r="H102" s="71">
        <v>475.48540000000003</v>
      </c>
      <c r="I102" s="72">
        <f>7227*2</f>
        <v>14454</v>
      </c>
      <c r="J102" s="73"/>
      <c r="K102" s="72">
        <f>+H102*45</f>
        <v>21396.843000000001</v>
      </c>
      <c r="L102" s="72">
        <f>+H102*20*0.25</f>
        <v>2377.4270000000001</v>
      </c>
      <c r="M102" s="62">
        <v>0</v>
      </c>
      <c r="N102" s="74"/>
      <c r="O102" s="72">
        <f>727*2</f>
        <v>1454</v>
      </c>
      <c r="P102" s="73"/>
      <c r="Q102" s="75">
        <f>+I102-O102</f>
        <v>13000</v>
      </c>
      <c r="R102" s="101">
        <f>+Q102/2</f>
        <v>6500</v>
      </c>
    </row>
    <row r="103" spans="1:18" s="25" customFormat="1" ht="60" customHeight="1" x14ac:dyDescent="0.25">
      <c r="A103" s="31">
        <v>235</v>
      </c>
      <c r="B103" s="70" t="s">
        <v>232</v>
      </c>
      <c r="C103" s="99" t="s">
        <v>230</v>
      </c>
      <c r="D103" s="99" t="s">
        <v>231</v>
      </c>
      <c r="E103" s="65" t="s">
        <v>151</v>
      </c>
      <c r="F103" s="76" t="s">
        <v>17</v>
      </c>
      <c r="G103" s="34">
        <v>45627</v>
      </c>
      <c r="H103" s="296">
        <v>357.39</v>
      </c>
      <c r="I103" s="72">
        <v>10864</v>
      </c>
      <c r="J103" s="61"/>
      <c r="K103" s="62">
        <f>+H103*45</f>
        <v>16082.55</v>
      </c>
      <c r="L103" s="62">
        <f>+H103*20*0.25</f>
        <v>1786.9499999999998</v>
      </c>
      <c r="M103" s="62">
        <v>0</v>
      </c>
      <c r="N103" s="77"/>
      <c r="O103" s="62">
        <f>432*2</f>
        <v>864</v>
      </c>
      <c r="P103" s="61"/>
      <c r="Q103" s="63">
        <f>+I103+M103-O103</f>
        <v>10000</v>
      </c>
      <c r="R103" s="101">
        <f>+Q103/2</f>
        <v>5000</v>
      </c>
    </row>
    <row r="104" spans="1:18" s="25" customFormat="1" ht="60" customHeight="1" x14ac:dyDescent="0.25">
      <c r="A104" s="26">
        <v>185</v>
      </c>
      <c r="B104" s="65" t="s">
        <v>106</v>
      </c>
      <c r="C104" s="99" t="s">
        <v>228</v>
      </c>
      <c r="D104" s="99" t="s">
        <v>229</v>
      </c>
      <c r="E104" s="65" t="s">
        <v>444</v>
      </c>
      <c r="F104" s="76" t="s">
        <v>17</v>
      </c>
      <c r="G104" s="34">
        <v>45536</v>
      </c>
      <c r="H104" s="60">
        <v>283.63</v>
      </c>
      <c r="I104" s="52">
        <f>4311*2</f>
        <v>8622</v>
      </c>
      <c r="J104" s="61"/>
      <c r="K104" s="62">
        <f>+H104*45</f>
        <v>12763.35</v>
      </c>
      <c r="L104" s="62">
        <f>+H104*26*0.42</f>
        <v>3097.2395999999999</v>
      </c>
      <c r="M104" s="60">
        <v>0</v>
      </c>
      <c r="N104" s="61"/>
      <c r="O104" s="60">
        <f>73*2</f>
        <v>146</v>
      </c>
      <c r="P104" s="61"/>
      <c r="Q104" s="63">
        <f>+I104+M104-O104</f>
        <v>8476</v>
      </c>
      <c r="R104" s="101">
        <f>+Q104/2</f>
        <v>4238</v>
      </c>
    </row>
    <row r="105" spans="1:18" s="25" customFormat="1" ht="60" customHeight="1" x14ac:dyDescent="0.25">
      <c r="A105" s="116" t="s">
        <v>460</v>
      </c>
      <c r="B105" s="70" t="s">
        <v>461</v>
      </c>
      <c r="C105" s="99" t="s">
        <v>462</v>
      </c>
      <c r="D105" s="99" t="s">
        <v>463</v>
      </c>
      <c r="E105" s="70" t="s">
        <v>77</v>
      </c>
      <c r="F105" s="69" t="s">
        <v>17</v>
      </c>
      <c r="G105" s="32">
        <v>45689</v>
      </c>
      <c r="H105" s="60">
        <v>283.63</v>
      </c>
      <c r="I105" s="52">
        <f>4311*2</f>
        <v>8622</v>
      </c>
      <c r="J105" s="61"/>
      <c r="K105" s="62">
        <f>+H105*45</f>
        <v>12763.35</v>
      </c>
      <c r="L105" s="62">
        <f>+H105*26*0.42</f>
        <v>3097.2395999999999</v>
      </c>
      <c r="M105" s="60">
        <v>0</v>
      </c>
      <c r="N105" s="61"/>
      <c r="O105" s="60">
        <f>73*2</f>
        <v>146</v>
      </c>
      <c r="P105" s="61"/>
      <c r="Q105" s="63">
        <f>+I105+M105-O105</f>
        <v>8476</v>
      </c>
      <c r="R105" s="101">
        <f>+Q105/2</f>
        <v>4238</v>
      </c>
    </row>
    <row r="107" spans="1:18" s="6" customFormat="1" ht="30" customHeight="1" thickBot="1" x14ac:dyDescent="0.3">
      <c r="A107" s="7"/>
      <c r="B107" s="55" t="s">
        <v>19</v>
      </c>
      <c r="C107" s="55"/>
      <c r="D107" s="55"/>
      <c r="E107" s="56"/>
      <c r="F107" s="4"/>
      <c r="G107" s="7"/>
      <c r="H107" s="4"/>
      <c r="I107" s="4"/>
      <c r="J107" s="4"/>
      <c r="K107" s="4"/>
      <c r="L107" s="4"/>
      <c r="M107" s="13"/>
      <c r="N107" s="13"/>
      <c r="O107" s="13"/>
      <c r="P107" s="13"/>
      <c r="Q107" s="13"/>
      <c r="R107" s="130"/>
    </row>
    <row r="108" spans="1:18" s="6" customFormat="1" ht="30" customHeight="1" thickBot="1" x14ac:dyDescent="0.3">
      <c r="A108" s="7"/>
      <c r="B108" s="55" t="s">
        <v>20</v>
      </c>
      <c r="C108" s="55"/>
      <c r="D108" s="55"/>
      <c r="E108" s="56"/>
      <c r="F108" s="218" t="s">
        <v>18</v>
      </c>
      <c r="G108" s="219"/>
      <c r="H108" s="255"/>
      <c r="I108" s="153">
        <f t="shared" ref="I108:R108" si="24">SUM(I101:I105)</f>
        <v>59514</v>
      </c>
      <c r="J108" s="151">
        <f t="shared" si="24"/>
        <v>0</v>
      </c>
      <c r="K108" s="153">
        <f t="shared" si="24"/>
        <v>88100.005500000014</v>
      </c>
      <c r="L108" s="151">
        <f t="shared" si="24"/>
        <v>13147.0687</v>
      </c>
      <c r="M108" s="153">
        <f t="shared" si="24"/>
        <v>0</v>
      </c>
      <c r="N108" s="151">
        <f t="shared" si="24"/>
        <v>0</v>
      </c>
      <c r="O108" s="153">
        <f t="shared" si="24"/>
        <v>4562</v>
      </c>
      <c r="P108" s="151">
        <f t="shared" si="24"/>
        <v>0</v>
      </c>
      <c r="Q108" s="153">
        <f t="shared" si="24"/>
        <v>54952</v>
      </c>
      <c r="R108" s="152">
        <f t="shared" si="24"/>
        <v>27476</v>
      </c>
    </row>
    <row r="109" spans="1:18" ht="30" customHeight="1" thickBot="1" x14ac:dyDescent="0.3">
      <c r="A109" s="9"/>
      <c r="B109" s="55" t="s">
        <v>21</v>
      </c>
      <c r="C109" s="55"/>
      <c r="D109" s="55"/>
      <c r="E109" s="55"/>
      <c r="F109" s="275" t="s">
        <v>445</v>
      </c>
      <c r="G109" s="276"/>
      <c r="H109" s="276"/>
      <c r="I109" s="161">
        <f>+I108*12</f>
        <v>714168</v>
      </c>
      <c r="J109" s="165">
        <f t="shared" ref="J109:R109" si="25">+J108*12</f>
        <v>0</v>
      </c>
      <c r="K109" s="167">
        <f>+K108</f>
        <v>88100.005500000014</v>
      </c>
      <c r="L109" s="165">
        <f>+L108</f>
        <v>13147.0687</v>
      </c>
      <c r="M109" s="167">
        <f t="shared" si="25"/>
        <v>0</v>
      </c>
      <c r="N109" s="165">
        <f t="shared" si="25"/>
        <v>0</v>
      </c>
      <c r="O109" s="167">
        <f t="shared" si="25"/>
        <v>54744</v>
      </c>
      <c r="P109" s="165">
        <f t="shared" si="25"/>
        <v>0</v>
      </c>
      <c r="Q109" s="167">
        <f t="shared" si="25"/>
        <v>659424</v>
      </c>
      <c r="R109" s="166">
        <f t="shared" si="25"/>
        <v>329712</v>
      </c>
    </row>
    <row r="110" spans="1:18" ht="30" customHeight="1" x14ac:dyDescent="0.25">
      <c r="A110" s="9"/>
      <c r="B110" s="55" t="s">
        <v>22</v>
      </c>
      <c r="C110" s="55"/>
      <c r="D110" s="55"/>
      <c r="E110" s="55"/>
      <c r="F110" s="58"/>
      <c r="G110" s="10"/>
      <c r="H110" s="58"/>
      <c r="I110" s="59"/>
      <c r="J110" s="59"/>
      <c r="K110" s="59"/>
      <c r="L110" s="59"/>
      <c r="M110" s="59"/>
      <c r="N110" s="59"/>
      <c r="O110" s="59"/>
      <c r="P110" s="59"/>
      <c r="Q110" s="59"/>
      <c r="R110" s="130"/>
    </row>
    <row r="111" spans="1:18" ht="30" customHeight="1" x14ac:dyDescent="0.25">
      <c r="A111" s="9"/>
      <c r="B111" s="55" t="s">
        <v>23</v>
      </c>
      <c r="C111" s="55"/>
      <c r="D111" s="55"/>
      <c r="E111" s="55"/>
      <c r="F111" s="58"/>
      <c r="G111" s="10"/>
      <c r="H111" s="58"/>
      <c r="I111" s="59"/>
      <c r="J111" s="59"/>
      <c r="K111" s="59"/>
      <c r="L111" s="59"/>
      <c r="M111" s="59"/>
      <c r="N111" s="59"/>
      <c r="O111" s="59"/>
      <c r="P111" s="59"/>
      <c r="Q111" s="59"/>
      <c r="R111" s="130"/>
    </row>
    <row r="112" spans="1:18" ht="30" customHeight="1" x14ac:dyDescent="0.25">
      <c r="A112" s="9"/>
      <c r="B112" s="55" t="s">
        <v>549</v>
      </c>
      <c r="C112" s="55"/>
      <c r="D112" s="55"/>
      <c r="E112" s="55"/>
      <c r="F112" s="58"/>
      <c r="G112" s="10"/>
      <c r="H112" s="58"/>
      <c r="I112" s="59"/>
      <c r="J112" s="59"/>
      <c r="K112" s="59"/>
      <c r="L112" s="59"/>
      <c r="M112" s="59"/>
      <c r="N112" s="59"/>
      <c r="O112" s="59"/>
      <c r="P112" s="59"/>
      <c r="Q112" s="59"/>
      <c r="R112" s="130"/>
    </row>
    <row r="113" spans="1:18" ht="30" customHeight="1" x14ac:dyDescent="0.25">
      <c r="A113" s="9"/>
      <c r="B113" s="55"/>
      <c r="C113" s="55"/>
      <c r="D113" s="55"/>
      <c r="E113" s="55"/>
      <c r="F113" s="58"/>
      <c r="G113" s="10"/>
      <c r="H113" s="58"/>
      <c r="I113" s="59"/>
      <c r="J113" s="59"/>
      <c r="K113" s="59"/>
      <c r="L113" s="59"/>
      <c r="M113" s="59"/>
      <c r="N113" s="59"/>
      <c r="O113" s="59"/>
      <c r="P113" s="59"/>
      <c r="Q113" s="59"/>
      <c r="R113" s="130"/>
    </row>
    <row r="114" spans="1:18" ht="30" customHeight="1" x14ac:dyDescent="0.25">
      <c r="A114" s="9"/>
      <c r="B114" s="55"/>
      <c r="C114" s="55"/>
      <c r="D114" s="55"/>
      <c r="E114" s="55"/>
      <c r="F114" s="58"/>
      <c r="G114" s="10"/>
      <c r="H114" s="58"/>
      <c r="I114" s="59"/>
      <c r="J114" s="59"/>
      <c r="K114" s="59"/>
      <c r="L114" s="59"/>
      <c r="M114" s="59"/>
      <c r="N114" s="59"/>
      <c r="O114" s="59"/>
      <c r="P114" s="59"/>
      <c r="Q114" s="59"/>
      <c r="R114" s="130"/>
    </row>
    <row r="115" spans="1:18" ht="30" customHeight="1" x14ac:dyDescent="0.25">
      <c r="A115" s="9"/>
      <c r="B115" s="55"/>
      <c r="C115" s="55"/>
      <c r="D115" s="55"/>
      <c r="E115" s="55"/>
      <c r="F115" s="58"/>
      <c r="G115" s="10"/>
      <c r="H115" s="58"/>
      <c r="I115" s="59"/>
      <c r="J115" s="59"/>
      <c r="K115" s="59"/>
      <c r="L115" s="59"/>
      <c r="M115" s="59"/>
      <c r="N115" s="59"/>
      <c r="O115" s="59"/>
      <c r="P115" s="59"/>
      <c r="Q115" s="59"/>
      <c r="R115" s="130"/>
    </row>
    <row r="116" spans="1:18" ht="30" customHeight="1" x14ac:dyDescent="0.25">
      <c r="A116" s="9"/>
      <c r="B116" s="55"/>
      <c r="C116" s="55"/>
      <c r="D116" s="55"/>
      <c r="E116" s="55"/>
      <c r="F116" s="58"/>
      <c r="G116" s="10"/>
      <c r="H116" s="58"/>
      <c r="I116" s="59"/>
      <c r="J116" s="59"/>
      <c r="K116" s="59"/>
      <c r="L116" s="59"/>
      <c r="M116" s="59"/>
      <c r="N116" s="59"/>
      <c r="O116" s="59"/>
      <c r="P116" s="59"/>
      <c r="Q116" s="59"/>
      <c r="R116" s="130"/>
    </row>
    <row r="117" spans="1:18" s="12" customFormat="1" ht="30" customHeight="1" x14ac:dyDescent="0.25">
      <c r="A117" s="220" t="s">
        <v>32</v>
      </c>
      <c r="B117" s="220"/>
      <c r="C117" s="220"/>
      <c r="D117" s="220"/>
      <c r="E117" s="220"/>
      <c r="F117" s="220"/>
      <c r="G117" s="220"/>
      <c r="H117" s="220"/>
      <c r="I117" s="220"/>
      <c r="J117" s="220"/>
      <c r="K117" s="220"/>
      <c r="L117" s="220"/>
      <c r="M117" s="220"/>
      <c r="N117" s="220"/>
      <c r="O117" s="220"/>
      <c r="P117" s="220"/>
      <c r="Q117" s="220"/>
      <c r="R117" s="130"/>
    </row>
    <row r="118" spans="1:18" s="12" customFormat="1" ht="30" customHeight="1" x14ac:dyDescent="0.25">
      <c r="A118" s="221" t="s">
        <v>0</v>
      </c>
      <c r="B118" s="221"/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  <c r="R118" s="130"/>
    </row>
    <row r="119" spans="1:18" s="12" customFormat="1" ht="30" customHeight="1" thickBot="1" x14ac:dyDescent="0.3">
      <c r="A119" s="221" t="s">
        <v>453</v>
      </c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130"/>
    </row>
    <row r="120" spans="1:18" s="5" customFormat="1" ht="24.95" customHeight="1" x14ac:dyDescent="0.25">
      <c r="A120" s="109"/>
      <c r="B120" s="247" t="s">
        <v>70</v>
      </c>
      <c r="C120" s="248"/>
      <c r="D120" s="248"/>
      <c r="E120" s="248"/>
      <c r="F120" s="248"/>
      <c r="G120" s="248"/>
      <c r="H120" s="248"/>
      <c r="I120" s="248"/>
      <c r="J120" s="248"/>
      <c r="K120" s="248"/>
      <c r="L120" s="248"/>
      <c r="M120" s="248"/>
      <c r="N120" s="248"/>
      <c r="O120" s="248"/>
      <c r="P120" s="248"/>
      <c r="Q120" s="248"/>
      <c r="R120" s="248"/>
    </row>
    <row r="121" spans="1:18" s="5" customFormat="1" ht="24.95" customHeight="1" thickBot="1" x14ac:dyDescent="0.3">
      <c r="A121" s="110"/>
      <c r="B121" s="249"/>
      <c r="C121" s="250"/>
      <c r="D121" s="250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0"/>
    </row>
    <row r="122" spans="1:18" s="25" customFormat="1" ht="27.95" customHeight="1" x14ac:dyDescent="0.25">
      <c r="A122" s="237"/>
      <c r="B122" s="259" t="s">
        <v>2</v>
      </c>
      <c r="C122" s="267" t="s">
        <v>178</v>
      </c>
      <c r="D122" s="267" t="s">
        <v>179</v>
      </c>
      <c r="E122" s="259" t="s">
        <v>3</v>
      </c>
      <c r="F122" s="256" t="s">
        <v>4</v>
      </c>
      <c r="G122" s="260" t="s">
        <v>5</v>
      </c>
      <c r="H122" s="256" t="s">
        <v>6</v>
      </c>
      <c r="I122" s="256" t="s">
        <v>7</v>
      </c>
      <c r="J122" s="256" t="s">
        <v>8</v>
      </c>
      <c r="K122" s="256" t="s">
        <v>9</v>
      </c>
      <c r="L122" s="256" t="s">
        <v>10</v>
      </c>
      <c r="M122" s="256" t="s">
        <v>11</v>
      </c>
      <c r="N122" s="256" t="s">
        <v>12</v>
      </c>
      <c r="O122" s="256" t="s">
        <v>13</v>
      </c>
      <c r="P122" s="256" t="s">
        <v>14</v>
      </c>
      <c r="Q122" s="266" t="s">
        <v>15</v>
      </c>
      <c r="R122" s="208" t="s">
        <v>140</v>
      </c>
    </row>
    <row r="123" spans="1:18" s="25" customFormat="1" ht="27.95" customHeight="1" thickBot="1" x14ac:dyDescent="0.3">
      <c r="A123" s="238"/>
      <c r="B123" s="242"/>
      <c r="C123" s="270"/>
      <c r="D123" s="270"/>
      <c r="E123" s="241"/>
      <c r="F123" s="228"/>
      <c r="G123" s="265"/>
      <c r="H123" s="228"/>
      <c r="I123" s="228"/>
      <c r="J123" s="228"/>
      <c r="K123" s="228"/>
      <c r="L123" s="228"/>
      <c r="M123" s="228"/>
      <c r="N123" s="229"/>
      <c r="O123" s="229"/>
      <c r="P123" s="228"/>
      <c r="Q123" s="235"/>
      <c r="R123" s="208"/>
    </row>
    <row r="124" spans="1:18" s="25" customFormat="1" ht="60" customHeight="1" x14ac:dyDescent="0.25">
      <c r="A124" s="31">
        <v>186</v>
      </c>
      <c r="B124" s="70" t="s">
        <v>107</v>
      </c>
      <c r="C124" s="99" t="s">
        <v>234</v>
      </c>
      <c r="D124" s="99" t="s">
        <v>235</v>
      </c>
      <c r="E124" s="70" t="s">
        <v>40</v>
      </c>
      <c r="F124" s="69" t="s">
        <v>16</v>
      </c>
      <c r="G124" s="27">
        <v>45536</v>
      </c>
      <c r="H124" s="71">
        <v>575.4348</v>
      </c>
      <c r="I124" s="72">
        <f>8747*2</f>
        <v>17494</v>
      </c>
      <c r="J124" s="73"/>
      <c r="K124" s="72">
        <f>+H124*45</f>
        <v>25894.565999999999</v>
      </c>
      <c r="L124" s="72">
        <f>+H124*20*0.25</f>
        <v>2877.174</v>
      </c>
      <c r="M124" s="72">
        <v>0</v>
      </c>
      <c r="N124" s="73"/>
      <c r="O124" s="71">
        <f>1034*2</f>
        <v>2068</v>
      </c>
      <c r="P124" s="73"/>
      <c r="Q124" s="75">
        <f>+I124-O124</f>
        <v>15426</v>
      </c>
      <c r="R124" s="101">
        <f>+Q124/2</f>
        <v>7713</v>
      </c>
    </row>
    <row r="125" spans="1:18" s="21" customFormat="1" ht="60" customHeight="1" x14ac:dyDescent="0.25">
      <c r="A125" s="20" t="s">
        <v>31</v>
      </c>
      <c r="B125" s="65" t="s">
        <v>82</v>
      </c>
      <c r="C125" s="99" t="s">
        <v>236</v>
      </c>
      <c r="D125" s="99" t="s">
        <v>237</v>
      </c>
      <c r="E125" s="65" t="s">
        <v>173</v>
      </c>
      <c r="F125" s="79" t="s">
        <v>35</v>
      </c>
      <c r="G125" s="27">
        <v>41113</v>
      </c>
      <c r="H125" s="71">
        <v>380.40390000000002</v>
      </c>
      <c r="I125" s="72">
        <f>5782*2</f>
        <v>11564</v>
      </c>
      <c r="J125" s="73"/>
      <c r="K125" s="72">
        <f>+H125*65</f>
        <v>24726.253500000003</v>
      </c>
      <c r="L125" s="72">
        <f>+H125*26*0.42</f>
        <v>4154.0105880000001</v>
      </c>
      <c r="M125" s="72">
        <v>0</v>
      </c>
      <c r="N125" s="73"/>
      <c r="O125" s="71">
        <f>482*2</f>
        <v>964</v>
      </c>
      <c r="P125" s="73"/>
      <c r="Q125" s="75">
        <f>+I125-O125</f>
        <v>10600</v>
      </c>
      <c r="R125" s="101">
        <f>+Q125/2</f>
        <v>5300</v>
      </c>
    </row>
    <row r="126" spans="1:18" s="25" customFormat="1" ht="60" customHeight="1" x14ac:dyDescent="0.25">
      <c r="A126" s="26">
        <v>187</v>
      </c>
      <c r="B126" s="65" t="s">
        <v>109</v>
      </c>
      <c r="C126" s="99" t="s">
        <v>238</v>
      </c>
      <c r="D126" s="99" t="s">
        <v>239</v>
      </c>
      <c r="E126" s="65" t="s">
        <v>73</v>
      </c>
      <c r="F126" s="76" t="s">
        <v>17</v>
      </c>
      <c r="G126" s="27">
        <v>45536</v>
      </c>
      <c r="H126" s="60">
        <v>283.63</v>
      </c>
      <c r="I126" s="52">
        <f>4311*2</f>
        <v>8622</v>
      </c>
      <c r="J126" s="61"/>
      <c r="K126" s="62">
        <f>+H126*45</f>
        <v>12763.35</v>
      </c>
      <c r="L126" s="62">
        <f>+H126*20*0.25</f>
        <v>1418.15</v>
      </c>
      <c r="M126" s="60">
        <v>0</v>
      </c>
      <c r="N126" s="61"/>
      <c r="O126" s="60">
        <f>73*2</f>
        <v>146</v>
      </c>
      <c r="P126" s="61"/>
      <c r="Q126" s="63">
        <f>+I126+M126-O126</f>
        <v>8476</v>
      </c>
      <c r="R126" s="101">
        <f>+Q126/2</f>
        <v>4238</v>
      </c>
    </row>
    <row r="127" spans="1:18" s="25" customFormat="1" ht="60" customHeight="1" x14ac:dyDescent="0.25">
      <c r="A127" s="26">
        <v>188</v>
      </c>
      <c r="B127" s="65" t="s">
        <v>157</v>
      </c>
      <c r="C127" s="99" t="s">
        <v>240</v>
      </c>
      <c r="D127" s="99" t="s">
        <v>241</v>
      </c>
      <c r="E127" s="65" t="s">
        <v>144</v>
      </c>
      <c r="F127" s="76" t="s">
        <v>17</v>
      </c>
      <c r="G127" s="27">
        <v>45536</v>
      </c>
      <c r="H127" s="71">
        <v>357.39</v>
      </c>
      <c r="I127" s="72">
        <f>5432*2</f>
        <v>10864</v>
      </c>
      <c r="J127" s="73"/>
      <c r="K127" s="72">
        <f>+H127*45</f>
        <v>16082.55</v>
      </c>
      <c r="L127" s="72">
        <f>+H127*20*0.25</f>
        <v>1786.9499999999998</v>
      </c>
      <c r="M127" s="72">
        <v>0</v>
      </c>
      <c r="N127" s="73"/>
      <c r="O127" s="71">
        <f>432*2</f>
        <v>864</v>
      </c>
      <c r="P127" s="73"/>
      <c r="Q127" s="75">
        <f>+I127-O127</f>
        <v>10000</v>
      </c>
      <c r="R127" s="101">
        <f>+Q127/2</f>
        <v>5000</v>
      </c>
    </row>
    <row r="128" spans="1:18" s="25" customFormat="1" ht="60" customHeight="1" x14ac:dyDescent="0.25">
      <c r="A128" s="26">
        <v>122</v>
      </c>
      <c r="B128" s="65" t="s">
        <v>108</v>
      </c>
      <c r="C128" s="99" t="s">
        <v>242</v>
      </c>
      <c r="D128" s="99" t="s">
        <v>243</v>
      </c>
      <c r="E128" s="65" t="s">
        <v>84</v>
      </c>
      <c r="F128" s="76" t="s">
        <v>17</v>
      </c>
      <c r="G128" s="27">
        <v>44440</v>
      </c>
      <c r="H128" s="60">
        <v>283.63</v>
      </c>
      <c r="I128" s="52">
        <f>4311*2</f>
        <v>8622</v>
      </c>
      <c r="J128" s="61"/>
      <c r="K128" s="62">
        <f>+H128*45</f>
        <v>12763.35</v>
      </c>
      <c r="L128" s="62">
        <f>+H128*20*0.25</f>
        <v>1418.15</v>
      </c>
      <c r="M128" s="60">
        <v>0</v>
      </c>
      <c r="N128" s="61"/>
      <c r="O128" s="60">
        <f>73*2</f>
        <v>146</v>
      </c>
      <c r="P128" s="61"/>
      <c r="Q128" s="63">
        <f>+I128+M128-O128</f>
        <v>8476</v>
      </c>
      <c r="R128" s="101">
        <f>+Q128/2</f>
        <v>4238</v>
      </c>
    </row>
    <row r="129" spans="1:18" s="6" customFormat="1" ht="30" customHeight="1" thickBot="1" x14ac:dyDescent="0.3">
      <c r="A129" s="7"/>
      <c r="B129" s="55" t="s">
        <v>19</v>
      </c>
      <c r="C129" s="55"/>
      <c r="D129" s="55"/>
      <c r="E129" s="56"/>
      <c r="F129" s="4"/>
      <c r="G129" s="7"/>
      <c r="H129" s="4"/>
      <c r="I129" s="4"/>
      <c r="J129" s="4"/>
      <c r="K129" s="4"/>
      <c r="L129" s="4"/>
      <c r="M129" s="13"/>
      <c r="N129" s="13"/>
      <c r="O129" s="13"/>
      <c r="P129" s="13"/>
      <c r="Q129" s="13"/>
      <c r="R129" s="130"/>
    </row>
    <row r="130" spans="1:18" s="6" customFormat="1" ht="30" customHeight="1" thickBot="1" x14ac:dyDescent="0.3">
      <c r="A130" s="7"/>
      <c r="B130" s="55" t="s">
        <v>20</v>
      </c>
      <c r="C130" s="55"/>
      <c r="D130" s="55"/>
      <c r="E130" s="56"/>
      <c r="F130" s="218" t="s">
        <v>18</v>
      </c>
      <c r="G130" s="219"/>
      <c r="H130" s="219"/>
      <c r="I130" s="17">
        <f t="shared" ref="I130:R130" si="26">SUM(I124:I128)</f>
        <v>57166</v>
      </c>
      <c r="J130" s="17">
        <f t="shared" si="26"/>
        <v>0</v>
      </c>
      <c r="K130" s="17">
        <f t="shared" si="26"/>
        <v>92230.069499999998</v>
      </c>
      <c r="L130" s="17">
        <f t="shared" si="26"/>
        <v>11654.434587999998</v>
      </c>
      <c r="M130" s="17">
        <f t="shared" si="26"/>
        <v>0</v>
      </c>
      <c r="N130" s="17">
        <f t="shared" si="26"/>
        <v>0</v>
      </c>
      <c r="O130" s="17">
        <f t="shared" si="26"/>
        <v>4188</v>
      </c>
      <c r="P130" s="17">
        <f t="shared" si="26"/>
        <v>0</v>
      </c>
      <c r="Q130" s="17">
        <f t="shared" si="26"/>
        <v>52978</v>
      </c>
      <c r="R130" s="17">
        <f t="shared" si="26"/>
        <v>26489</v>
      </c>
    </row>
    <row r="131" spans="1:18" ht="30" customHeight="1" thickBot="1" x14ac:dyDescent="0.3">
      <c r="A131" s="9"/>
      <c r="B131" s="55" t="s">
        <v>21</v>
      </c>
      <c r="C131" s="55"/>
      <c r="D131" s="55"/>
      <c r="E131" s="55"/>
      <c r="F131" s="275" t="s">
        <v>445</v>
      </c>
      <c r="G131" s="276"/>
      <c r="H131" s="276"/>
      <c r="I131" s="161">
        <f>+I130*12</f>
        <v>685992</v>
      </c>
      <c r="J131" s="159">
        <f t="shared" ref="J131:R131" si="27">+J130*12</f>
        <v>0</v>
      </c>
      <c r="K131" s="161">
        <f>+K130</f>
        <v>92230.069499999998</v>
      </c>
      <c r="L131" s="159">
        <f>+L130</f>
        <v>11654.434587999998</v>
      </c>
      <c r="M131" s="161">
        <f t="shared" si="27"/>
        <v>0</v>
      </c>
      <c r="N131" s="159">
        <f t="shared" si="27"/>
        <v>0</v>
      </c>
      <c r="O131" s="161">
        <f t="shared" si="27"/>
        <v>50256</v>
      </c>
      <c r="P131" s="159">
        <f t="shared" si="27"/>
        <v>0</v>
      </c>
      <c r="Q131" s="161">
        <f t="shared" si="27"/>
        <v>635736</v>
      </c>
      <c r="R131" s="160">
        <f t="shared" si="27"/>
        <v>317868</v>
      </c>
    </row>
    <row r="132" spans="1:18" ht="30" customHeight="1" x14ac:dyDescent="0.25">
      <c r="A132" s="9"/>
      <c r="B132" s="55" t="s">
        <v>22</v>
      </c>
      <c r="C132" s="55"/>
      <c r="D132" s="55"/>
      <c r="E132" s="55"/>
      <c r="F132" s="58"/>
      <c r="G132" s="10"/>
      <c r="H132" s="58"/>
      <c r="I132" s="59"/>
      <c r="J132" s="59"/>
      <c r="K132" s="59"/>
      <c r="L132" s="59"/>
      <c r="M132" s="59"/>
      <c r="N132" s="59"/>
      <c r="O132" s="59"/>
      <c r="P132" s="59"/>
      <c r="Q132" s="59"/>
      <c r="R132" s="130"/>
    </row>
    <row r="133" spans="1:18" ht="30" customHeight="1" x14ac:dyDescent="0.25">
      <c r="A133" s="9"/>
      <c r="B133" s="55" t="s">
        <v>23</v>
      </c>
      <c r="C133" s="55"/>
      <c r="D133" s="55"/>
      <c r="E133" s="55"/>
      <c r="F133" s="58"/>
      <c r="G133" s="10"/>
      <c r="H133" s="58"/>
      <c r="I133" s="59"/>
      <c r="J133" s="59"/>
      <c r="K133" s="59"/>
      <c r="L133" s="59"/>
      <c r="M133" s="59"/>
      <c r="N133" s="59"/>
      <c r="O133" s="59"/>
      <c r="P133" s="59"/>
      <c r="Q133" s="59"/>
      <c r="R133" s="130"/>
    </row>
    <row r="134" spans="1:18" ht="30" customHeight="1" x14ac:dyDescent="0.25">
      <c r="A134" s="9"/>
      <c r="B134" s="55" t="s">
        <v>549</v>
      </c>
      <c r="C134" s="55"/>
      <c r="D134" s="55"/>
      <c r="E134" s="55"/>
      <c r="F134" s="58"/>
      <c r="G134" s="10"/>
      <c r="H134" s="58"/>
      <c r="I134" s="59"/>
      <c r="J134" s="59"/>
      <c r="K134" s="59"/>
      <c r="L134" s="59"/>
      <c r="M134" s="59"/>
      <c r="N134" s="59"/>
      <c r="O134" s="59"/>
      <c r="P134" s="59"/>
      <c r="Q134" s="59"/>
      <c r="R134" s="130"/>
    </row>
    <row r="135" spans="1:18" ht="30" customHeight="1" x14ac:dyDescent="0.25">
      <c r="A135" s="9"/>
      <c r="B135" s="55"/>
      <c r="C135" s="55"/>
      <c r="D135" s="55"/>
      <c r="E135" s="55"/>
      <c r="F135" s="58"/>
      <c r="G135" s="10"/>
      <c r="H135" s="58"/>
      <c r="I135" s="59"/>
      <c r="J135" s="59"/>
      <c r="K135" s="59"/>
      <c r="L135" s="59"/>
      <c r="M135" s="59"/>
      <c r="N135" s="59"/>
      <c r="O135" s="59"/>
      <c r="P135" s="59"/>
      <c r="Q135" s="59"/>
      <c r="R135" s="130"/>
    </row>
    <row r="136" spans="1:18" ht="30" customHeight="1" x14ac:dyDescent="0.25">
      <c r="A136" s="9"/>
      <c r="B136" s="55"/>
      <c r="C136" s="55"/>
      <c r="D136" s="55"/>
      <c r="E136" s="55"/>
      <c r="F136" s="58"/>
      <c r="G136" s="10"/>
      <c r="H136" s="58"/>
      <c r="I136" s="59"/>
      <c r="J136" s="59"/>
      <c r="K136" s="59"/>
      <c r="L136" s="59"/>
      <c r="M136" s="59"/>
      <c r="N136" s="59"/>
      <c r="O136" s="59"/>
      <c r="P136" s="59"/>
      <c r="Q136" s="59"/>
      <c r="R136" s="130"/>
    </row>
    <row r="137" spans="1:18" ht="30" customHeight="1" x14ac:dyDescent="0.25">
      <c r="A137" s="9"/>
      <c r="B137" s="55"/>
      <c r="C137" s="55"/>
      <c r="D137" s="55"/>
      <c r="E137" s="55"/>
      <c r="F137" s="58"/>
      <c r="G137" s="10"/>
      <c r="H137" s="58"/>
      <c r="I137" s="59"/>
      <c r="J137" s="59"/>
      <c r="K137" s="59"/>
      <c r="L137" s="59"/>
      <c r="M137" s="59"/>
      <c r="N137" s="59"/>
      <c r="O137" s="59"/>
      <c r="P137" s="59"/>
      <c r="Q137" s="59"/>
      <c r="R137" s="130"/>
    </row>
    <row r="138" spans="1:18" ht="30" customHeight="1" x14ac:dyDescent="0.25">
      <c r="A138" s="9"/>
      <c r="B138" s="55"/>
      <c r="C138" s="55"/>
      <c r="D138" s="55"/>
      <c r="E138" s="55"/>
      <c r="F138" s="58"/>
      <c r="G138" s="10"/>
      <c r="H138" s="58"/>
      <c r="I138" s="59"/>
      <c r="J138" s="59"/>
      <c r="K138" s="59"/>
      <c r="L138" s="59"/>
      <c r="M138" s="59"/>
      <c r="N138" s="59"/>
      <c r="O138" s="59"/>
      <c r="P138" s="59"/>
      <c r="Q138" s="59"/>
      <c r="R138" s="130"/>
    </row>
    <row r="139" spans="1:18" ht="30" customHeight="1" x14ac:dyDescent="0.25">
      <c r="A139" s="9"/>
      <c r="B139" s="55"/>
      <c r="C139" s="55"/>
      <c r="D139" s="55"/>
      <c r="E139" s="55"/>
      <c r="F139" s="58"/>
      <c r="G139" s="10"/>
      <c r="H139" s="58"/>
      <c r="I139" s="59"/>
      <c r="J139" s="59"/>
      <c r="K139" s="59"/>
      <c r="L139" s="59"/>
      <c r="M139" s="59"/>
      <c r="N139" s="59"/>
      <c r="O139" s="59"/>
      <c r="P139" s="59"/>
      <c r="Q139" s="59"/>
      <c r="R139" s="130"/>
    </row>
    <row r="140" spans="1:18" ht="30" customHeight="1" x14ac:dyDescent="0.25">
      <c r="A140" s="9"/>
      <c r="B140" s="55"/>
      <c r="C140" s="55"/>
      <c r="D140" s="55"/>
      <c r="E140" s="55"/>
      <c r="F140" s="58"/>
      <c r="G140" s="10"/>
      <c r="H140" s="58"/>
      <c r="I140" s="59"/>
      <c r="J140" s="59"/>
      <c r="K140" s="59"/>
      <c r="L140" s="59"/>
      <c r="M140" s="59"/>
      <c r="N140" s="59"/>
      <c r="O140" s="59"/>
      <c r="P140" s="59"/>
      <c r="Q140" s="59"/>
      <c r="R140" s="130"/>
    </row>
    <row r="141" spans="1:18" ht="30" customHeight="1" x14ac:dyDescent="0.25">
      <c r="A141" s="9"/>
      <c r="B141" s="55"/>
      <c r="C141" s="55"/>
      <c r="D141" s="55"/>
      <c r="E141" s="55"/>
      <c r="F141" s="58"/>
      <c r="G141" s="10"/>
      <c r="H141" s="58"/>
      <c r="I141" s="59"/>
      <c r="J141" s="59"/>
      <c r="K141" s="59"/>
      <c r="L141" s="59"/>
      <c r="M141" s="59"/>
      <c r="N141" s="59"/>
      <c r="O141" s="59"/>
      <c r="P141" s="59"/>
      <c r="Q141" s="59"/>
      <c r="R141" s="130"/>
    </row>
    <row r="142" spans="1:18" ht="30" customHeight="1" x14ac:dyDescent="0.25">
      <c r="A142" s="9"/>
      <c r="B142" s="55"/>
      <c r="C142" s="55"/>
      <c r="D142" s="55"/>
      <c r="E142" s="55"/>
      <c r="F142" s="58"/>
      <c r="G142" s="10"/>
      <c r="H142" s="58"/>
      <c r="I142" s="59"/>
      <c r="J142" s="59"/>
      <c r="K142" s="59"/>
      <c r="L142" s="59"/>
      <c r="M142" s="59"/>
      <c r="N142" s="59"/>
      <c r="O142" s="59"/>
      <c r="P142" s="59"/>
      <c r="Q142" s="59"/>
      <c r="R142" s="130"/>
    </row>
    <row r="143" spans="1:18" ht="30" customHeight="1" x14ac:dyDescent="0.25">
      <c r="A143" s="9"/>
      <c r="B143" s="55"/>
      <c r="C143" s="55"/>
      <c r="D143" s="55"/>
      <c r="E143" s="55"/>
      <c r="F143" s="58"/>
      <c r="G143" s="10"/>
      <c r="H143" s="58"/>
      <c r="I143" s="59"/>
      <c r="J143" s="59"/>
      <c r="K143" s="59"/>
      <c r="L143" s="59"/>
      <c r="M143" s="59"/>
      <c r="N143" s="59"/>
      <c r="O143" s="59"/>
      <c r="P143" s="59"/>
      <c r="Q143" s="59"/>
      <c r="R143" s="130"/>
    </row>
    <row r="144" spans="1:18" ht="30" customHeight="1" x14ac:dyDescent="0.25">
      <c r="A144" s="9"/>
      <c r="B144" s="55"/>
      <c r="C144" s="55"/>
      <c r="D144" s="55"/>
      <c r="E144" s="55"/>
      <c r="F144" s="58"/>
      <c r="G144" s="10"/>
      <c r="H144" s="58"/>
      <c r="I144" s="59"/>
      <c r="J144" s="59"/>
      <c r="K144" s="59"/>
      <c r="L144" s="59"/>
      <c r="M144" s="59"/>
      <c r="N144" s="59"/>
      <c r="O144" s="59"/>
      <c r="P144" s="59"/>
      <c r="Q144" s="59"/>
      <c r="R144" s="130"/>
    </row>
    <row r="145" spans="1:18" ht="30" customHeight="1" x14ac:dyDescent="0.25">
      <c r="A145" s="9"/>
      <c r="B145" s="55"/>
      <c r="C145" s="55"/>
      <c r="D145" s="55"/>
      <c r="E145" s="55"/>
      <c r="F145" s="58"/>
      <c r="G145" s="10"/>
      <c r="H145" s="58"/>
      <c r="I145" s="59"/>
      <c r="J145" s="59"/>
      <c r="K145" s="59"/>
      <c r="L145" s="59"/>
      <c r="M145" s="59"/>
      <c r="N145" s="59"/>
      <c r="O145" s="59"/>
      <c r="P145" s="59"/>
      <c r="Q145" s="59"/>
      <c r="R145" s="130"/>
    </row>
    <row r="146" spans="1:18" ht="30" customHeight="1" x14ac:dyDescent="0.25">
      <c r="A146" s="9"/>
      <c r="B146" s="55"/>
      <c r="C146" s="55"/>
      <c r="D146" s="55"/>
      <c r="E146" s="55"/>
      <c r="F146" s="58"/>
      <c r="G146" s="10"/>
      <c r="H146" s="58"/>
      <c r="I146" s="59"/>
      <c r="J146" s="59"/>
      <c r="K146" s="59"/>
      <c r="L146" s="59"/>
      <c r="M146" s="59"/>
      <c r="N146" s="59"/>
      <c r="O146" s="59"/>
      <c r="P146" s="59"/>
      <c r="Q146" s="59"/>
      <c r="R146" s="130"/>
    </row>
    <row r="147" spans="1:18" ht="30" customHeight="1" x14ac:dyDescent="0.25">
      <c r="A147" s="9"/>
      <c r="B147" s="55"/>
      <c r="C147" s="55"/>
      <c r="D147" s="55"/>
      <c r="E147" s="55"/>
      <c r="F147" s="58"/>
      <c r="G147" s="10"/>
      <c r="H147" s="58"/>
      <c r="I147" s="59"/>
      <c r="J147" s="59"/>
      <c r="K147" s="59"/>
      <c r="L147" s="59"/>
      <c r="M147" s="59"/>
      <c r="N147" s="59"/>
      <c r="O147" s="59"/>
      <c r="P147" s="59"/>
      <c r="Q147" s="59"/>
      <c r="R147" s="130"/>
    </row>
    <row r="148" spans="1:18" ht="30" customHeight="1" x14ac:dyDescent="0.25">
      <c r="A148" s="9"/>
      <c r="B148" s="55"/>
      <c r="C148" s="55"/>
      <c r="D148" s="55"/>
      <c r="E148" s="55"/>
      <c r="F148" s="58"/>
      <c r="G148" s="10"/>
      <c r="H148" s="58"/>
      <c r="I148" s="59"/>
      <c r="J148" s="59"/>
      <c r="K148" s="59"/>
      <c r="L148" s="59"/>
      <c r="M148" s="59"/>
      <c r="N148" s="59"/>
      <c r="O148" s="59"/>
      <c r="P148" s="59"/>
      <c r="Q148" s="59"/>
      <c r="R148" s="130"/>
    </row>
    <row r="149" spans="1:18" ht="30" customHeight="1" x14ac:dyDescent="0.25">
      <c r="A149" s="9"/>
      <c r="B149" s="55"/>
      <c r="C149" s="55"/>
      <c r="D149" s="55"/>
      <c r="E149" s="55"/>
      <c r="F149" s="58"/>
      <c r="G149" s="10"/>
      <c r="H149" s="58"/>
      <c r="I149" s="59"/>
      <c r="J149" s="59"/>
      <c r="K149" s="59"/>
      <c r="L149" s="59"/>
      <c r="M149" s="59"/>
      <c r="N149" s="59"/>
      <c r="O149" s="59"/>
      <c r="P149" s="59"/>
      <c r="Q149" s="59"/>
      <c r="R149" s="130"/>
    </row>
    <row r="150" spans="1:18" ht="30" customHeight="1" x14ac:dyDescent="0.25">
      <c r="A150" s="9"/>
      <c r="B150" s="55"/>
      <c r="C150" s="55"/>
      <c r="D150" s="55"/>
      <c r="E150" s="55"/>
      <c r="F150" s="58"/>
      <c r="G150" s="10"/>
      <c r="H150" s="58"/>
      <c r="I150" s="59"/>
      <c r="J150" s="59"/>
      <c r="K150" s="59"/>
      <c r="L150" s="59"/>
      <c r="M150" s="59"/>
      <c r="N150" s="59"/>
      <c r="O150" s="59"/>
      <c r="P150" s="59"/>
      <c r="Q150" s="59"/>
      <c r="R150" s="130"/>
    </row>
    <row r="151" spans="1:18" ht="30" customHeight="1" x14ac:dyDescent="0.25">
      <c r="A151" s="9"/>
      <c r="B151" s="55"/>
      <c r="C151" s="55"/>
      <c r="D151" s="55"/>
      <c r="E151" s="55"/>
      <c r="F151" s="58"/>
      <c r="G151" s="10"/>
      <c r="H151" s="58"/>
      <c r="I151" s="59"/>
      <c r="J151" s="59"/>
      <c r="K151" s="59"/>
      <c r="L151" s="59"/>
      <c r="M151" s="59"/>
      <c r="N151" s="59"/>
      <c r="O151" s="59"/>
      <c r="P151" s="59"/>
      <c r="Q151" s="59"/>
      <c r="R151" s="130"/>
    </row>
    <row r="152" spans="1:18" ht="30" customHeight="1" x14ac:dyDescent="0.25">
      <c r="A152" s="9"/>
      <c r="B152" s="55"/>
      <c r="C152" s="55"/>
      <c r="D152" s="55"/>
      <c r="E152" s="55"/>
      <c r="F152" s="58"/>
      <c r="G152" s="10"/>
      <c r="H152" s="58"/>
      <c r="I152" s="59"/>
      <c r="J152" s="59"/>
      <c r="K152" s="59"/>
      <c r="L152" s="59"/>
      <c r="M152" s="59"/>
      <c r="N152" s="59"/>
      <c r="O152" s="59"/>
      <c r="P152" s="59"/>
      <c r="Q152" s="59"/>
      <c r="R152" s="130"/>
    </row>
    <row r="153" spans="1:18" ht="30" customHeight="1" x14ac:dyDescent="0.25">
      <c r="A153" s="9"/>
      <c r="B153" s="55"/>
      <c r="C153" s="55"/>
      <c r="D153" s="55"/>
      <c r="E153" s="55"/>
      <c r="F153" s="58"/>
      <c r="G153" s="10"/>
      <c r="H153" s="58"/>
      <c r="I153" s="59"/>
      <c r="J153" s="59"/>
      <c r="K153" s="59"/>
      <c r="L153" s="59"/>
      <c r="M153" s="59"/>
      <c r="N153" s="59"/>
      <c r="O153" s="59"/>
      <c r="P153" s="59"/>
      <c r="Q153" s="59"/>
      <c r="R153" s="130"/>
    </row>
    <row r="154" spans="1:18" ht="30" customHeight="1" x14ac:dyDescent="0.25">
      <c r="A154" s="9"/>
      <c r="B154" s="55"/>
      <c r="C154" s="55"/>
      <c r="D154" s="55"/>
      <c r="E154" s="55"/>
      <c r="F154" s="58"/>
      <c r="G154" s="10"/>
      <c r="H154" s="58"/>
      <c r="I154" s="59"/>
      <c r="J154" s="59"/>
      <c r="K154" s="59"/>
      <c r="L154" s="59"/>
      <c r="M154" s="59"/>
      <c r="N154" s="59"/>
      <c r="O154" s="59"/>
      <c r="P154" s="59"/>
      <c r="Q154" s="59"/>
      <c r="R154" s="130"/>
    </row>
    <row r="155" spans="1:18" ht="30" customHeight="1" x14ac:dyDescent="0.25">
      <c r="A155" s="9"/>
      <c r="B155" s="55"/>
      <c r="C155" s="55"/>
      <c r="D155" s="55"/>
      <c r="E155" s="55"/>
      <c r="F155" s="58"/>
      <c r="G155" s="10"/>
      <c r="H155" s="58"/>
      <c r="I155" s="59"/>
      <c r="J155" s="59"/>
      <c r="K155" s="59"/>
      <c r="L155" s="59"/>
      <c r="M155" s="59"/>
      <c r="N155" s="59"/>
      <c r="O155" s="59"/>
      <c r="P155" s="59"/>
      <c r="Q155" s="59"/>
      <c r="R155" s="130"/>
    </row>
    <row r="156" spans="1:18" ht="30" customHeight="1" x14ac:dyDescent="0.25">
      <c r="A156" s="9"/>
      <c r="B156" s="55"/>
      <c r="C156" s="55"/>
      <c r="D156" s="55"/>
      <c r="E156" s="55"/>
      <c r="F156" s="58"/>
      <c r="G156" s="10"/>
      <c r="H156" s="58"/>
      <c r="I156" s="59"/>
      <c r="J156" s="59"/>
      <c r="K156" s="59"/>
      <c r="L156" s="59"/>
      <c r="M156" s="59"/>
      <c r="N156" s="59"/>
      <c r="O156" s="59"/>
      <c r="P156" s="59"/>
      <c r="Q156" s="59"/>
      <c r="R156" s="130"/>
    </row>
    <row r="157" spans="1:18" ht="30" customHeight="1" x14ac:dyDescent="0.25">
      <c r="A157" s="9"/>
      <c r="B157" s="55"/>
      <c r="C157" s="55"/>
      <c r="D157" s="55"/>
      <c r="E157" s="55"/>
      <c r="F157" s="58"/>
      <c r="G157" s="10"/>
      <c r="H157" s="58"/>
      <c r="I157" s="59"/>
      <c r="J157" s="59"/>
      <c r="K157" s="59"/>
      <c r="L157" s="59"/>
      <c r="M157" s="59"/>
      <c r="N157" s="59"/>
      <c r="O157" s="59"/>
      <c r="P157" s="59"/>
      <c r="Q157" s="59"/>
      <c r="R157" s="130"/>
    </row>
    <row r="158" spans="1:18" ht="30" customHeight="1" x14ac:dyDescent="0.25">
      <c r="A158" s="9"/>
      <c r="B158" s="55"/>
      <c r="C158" s="55"/>
      <c r="D158" s="55"/>
      <c r="E158" s="55"/>
      <c r="F158" s="58"/>
      <c r="G158" s="10"/>
      <c r="H158" s="58"/>
      <c r="I158" s="59"/>
      <c r="J158" s="59"/>
      <c r="K158" s="59"/>
      <c r="L158" s="59"/>
      <c r="M158" s="59"/>
      <c r="N158" s="59"/>
      <c r="O158" s="59"/>
      <c r="P158" s="59"/>
      <c r="Q158" s="59"/>
      <c r="R158" s="130"/>
    </row>
    <row r="159" spans="1:18" s="12" customFormat="1" ht="30" customHeight="1" x14ac:dyDescent="0.25">
      <c r="A159" s="220" t="s">
        <v>32</v>
      </c>
      <c r="B159" s="220"/>
      <c r="C159" s="220"/>
      <c r="D159" s="220"/>
      <c r="E159" s="220"/>
      <c r="F159" s="220"/>
      <c r="G159" s="220"/>
      <c r="H159" s="220"/>
      <c r="I159" s="220"/>
      <c r="J159" s="220"/>
      <c r="K159" s="220"/>
      <c r="L159" s="220"/>
      <c r="M159" s="220"/>
      <c r="N159" s="220"/>
      <c r="O159" s="220"/>
      <c r="P159" s="220"/>
      <c r="Q159" s="220"/>
      <c r="R159" s="130"/>
    </row>
    <row r="160" spans="1:18" s="12" customFormat="1" ht="30" customHeight="1" x14ac:dyDescent="0.25">
      <c r="A160" s="221" t="s">
        <v>0</v>
      </c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130"/>
    </row>
    <row r="161" spans="1:18" s="12" customFormat="1" ht="30" customHeight="1" thickBot="1" x14ac:dyDescent="0.3">
      <c r="A161" s="221" t="s">
        <v>453</v>
      </c>
      <c r="B161" s="221"/>
      <c r="C161" s="221"/>
      <c r="D161" s="221"/>
      <c r="E161" s="221"/>
      <c r="F161" s="221"/>
      <c r="G161" s="221"/>
      <c r="H161" s="221"/>
      <c r="I161" s="221"/>
      <c r="J161" s="221"/>
      <c r="K161" s="221"/>
      <c r="L161" s="221"/>
      <c r="M161" s="221"/>
      <c r="N161" s="221"/>
      <c r="O161" s="221"/>
      <c r="P161" s="221"/>
      <c r="Q161" s="221"/>
      <c r="R161" s="130"/>
    </row>
    <row r="162" spans="1:18" s="5" customFormat="1" ht="24.95" customHeight="1" x14ac:dyDescent="0.25">
      <c r="A162" s="109"/>
      <c r="B162" s="209" t="s">
        <v>29</v>
      </c>
      <c r="C162" s="210"/>
      <c r="D162" s="210"/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</row>
    <row r="163" spans="1:18" s="5" customFormat="1" ht="24.95" customHeight="1" thickBot="1" x14ac:dyDescent="0.3">
      <c r="A163" s="110"/>
      <c r="B163" s="212"/>
      <c r="C163" s="213"/>
      <c r="D163" s="213"/>
      <c r="E163" s="213"/>
      <c r="F163" s="213"/>
      <c r="G163" s="213"/>
      <c r="H163" s="213"/>
      <c r="I163" s="213"/>
      <c r="J163" s="213"/>
      <c r="K163" s="213"/>
      <c r="L163" s="213"/>
      <c r="M163" s="213"/>
      <c r="N163" s="213"/>
      <c r="O163" s="213"/>
      <c r="P163" s="213"/>
      <c r="Q163" s="213"/>
      <c r="R163" s="213"/>
    </row>
    <row r="164" spans="1:18" s="25" customFormat="1" ht="27.95" customHeight="1" x14ac:dyDescent="0.25">
      <c r="A164" s="237"/>
      <c r="B164" s="259" t="s">
        <v>2</v>
      </c>
      <c r="C164" s="267" t="s">
        <v>178</v>
      </c>
      <c r="D164" s="267" t="s">
        <v>179</v>
      </c>
      <c r="E164" s="259" t="s">
        <v>3</v>
      </c>
      <c r="F164" s="256" t="s">
        <v>4</v>
      </c>
      <c r="G164" s="260" t="s">
        <v>5</v>
      </c>
      <c r="H164" s="256" t="s">
        <v>6</v>
      </c>
      <c r="I164" s="256" t="s">
        <v>7</v>
      </c>
      <c r="J164" s="256" t="s">
        <v>8</v>
      </c>
      <c r="K164" s="256" t="s">
        <v>9</v>
      </c>
      <c r="L164" s="256" t="s">
        <v>10</v>
      </c>
      <c r="M164" s="256" t="s">
        <v>11</v>
      </c>
      <c r="N164" s="256" t="s">
        <v>12</v>
      </c>
      <c r="O164" s="256" t="s">
        <v>13</v>
      </c>
      <c r="P164" s="256" t="s">
        <v>14</v>
      </c>
      <c r="Q164" s="266" t="s">
        <v>15</v>
      </c>
      <c r="R164" s="208" t="s">
        <v>140</v>
      </c>
    </row>
    <row r="165" spans="1:18" s="25" customFormat="1" ht="27.95" customHeight="1" thickBot="1" x14ac:dyDescent="0.3">
      <c r="A165" s="238"/>
      <c r="B165" s="242"/>
      <c r="C165" s="270"/>
      <c r="D165" s="270"/>
      <c r="E165" s="241"/>
      <c r="F165" s="228"/>
      <c r="G165" s="265"/>
      <c r="H165" s="228"/>
      <c r="I165" s="228"/>
      <c r="J165" s="228"/>
      <c r="K165" s="228"/>
      <c r="L165" s="228"/>
      <c r="M165" s="228"/>
      <c r="N165" s="229"/>
      <c r="O165" s="229"/>
      <c r="P165" s="228"/>
      <c r="Q165" s="235"/>
      <c r="R165" s="208"/>
    </row>
    <row r="166" spans="1:18" s="25" customFormat="1" ht="60" customHeight="1" x14ac:dyDescent="0.25">
      <c r="A166" s="144">
        <v>3</v>
      </c>
      <c r="B166" s="70" t="s">
        <v>41</v>
      </c>
      <c r="C166" s="99" t="s">
        <v>244</v>
      </c>
      <c r="D166" s="99" t="s">
        <v>245</v>
      </c>
      <c r="E166" s="123" t="s">
        <v>43</v>
      </c>
      <c r="F166" s="69" t="s">
        <v>35</v>
      </c>
      <c r="G166" s="122">
        <v>43344</v>
      </c>
      <c r="H166" s="60">
        <v>283.63</v>
      </c>
      <c r="I166" s="52">
        <f>4311*2</f>
        <v>8622</v>
      </c>
      <c r="J166" s="61"/>
      <c r="K166" s="62">
        <f>+H166*65</f>
        <v>18435.95</v>
      </c>
      <c r="L166" s="62">
        <f>+H166*26*0.42</f>
        <v>3097.2395999999999</v>
      </c>
      <c r="M166" s="60">
        <v>0</v>
      </c>
      <c r="N166" s="61"/>
      <c r="O166" s="60">
        <f>73*2</f>
        <v>146</v>
      </c>
      <c r="P166" s="61"/>
      <c r="Q166" s="63">
        <f>+I166+M166-O166</f>
        <v>8476</v>
      </c>
      <c r="R166" s="101">
        <f>+Q166/2</f>
        <v>4238</v>
      </c>
    </row>
    <row r="167" spans="1:18" s="136" customFormat="1" ht="60" customHeight="1" x14ac:dyDescent="0.25">
      <c r="A167" s="26">
        <v>15</v>
      </c>
      <c r="B167" s="65" t="s">
        <v>42</v>
      </c>
      <c r="C167" s="99" t="s">
        <v>246</v>
      </c>
      <c r="D167" s="99" t="s">
        <v>247</v>
      </c>
      <c r="E167" s="119" t="s">
        <v>257</v>
      </c>
      <c r="F167" s="76" t="s">
        <v>35</v>
      </c>
      <c r="G167" s="122">
        <v>33984</v>
      </c>
      <c r="H167" s="60">
        <v>283.63</v>
      </c>
      <c r="I167" s="52">
        <f>4311*2</f>
        <v>8622</v>
      </c>
      <c r="J167" s="61"/>
      <c r="K167" s="62">
        <f>+H167*65</f>
        <v>18435.95</v>
      </c>
      <c r="L167" s="62">
        <f>+H167*26*0.42</f>
        <v>3097.2395999999999</v>
      </c>
      <c r="M167" s="60">
        <v>0</v>
      </c>
      <c r="N167" s="61"/>
      <c r="O167" s="60">
        <f>73*2</f>
        <v>146</v>
      </c>
      <c r="P167" s="61"/>
      <c r="Q167" s="63">
        <f>+I167+M167-O167</f>
        <v>8476</v>
      </c>
      <c r="R167" s="101">
        <f>+Q167/2</f>
        <v>4238</v>
      </c>
    </row>
    <row r="168" spans="1:18" s="25" customFormat="1" ht="60" customHeight="1" x14ac:dyDescent="0.25">
      <c r="A168" s="126">
        <v>191</v>
      </c>
      <c r="B168" s="65" t="s">
        <v>138</v>
      </c>
      <c r="C168" s="99" t="s">
        <v>248</v>
      </c>
      <c r="D168" s="99" t="s">
        <v>249</v>
      </c>
      <c r="E168" s="119" t="s">
        <v>258</v>
      </c>
      <c r="F168" s="76" t="s">
        <v>17</v>
      </c>
      <c r="G168" s="122">
        <v>45536</v>
      </c>
      <c r="H168" s="60">
        <v>283.63</v>
      </c>
      <c r="I168" s="52">
        <f>4311*2</f>
        <v>8622</v>
      </c>
      <c r="J168" s="61"/>
      <c r="K168" s="62">
        <f>+H168*45</f>
        <v>12763.35</v>
      </c>
      <c r="L168" s="62">
        <f>+H168*20*0.25</f>
        <v>1418.15</v>
      </c>
      <c r="M168" s="60">
        <v>0</v>
      </c>
      <c r="N168" s="61"/>
      <c r="O168" s="60">
        <f>73*2</f>
        <v>146</v>
      </c>
      <c r="P168" s="61"/>
      <c r="Q168" s="63">
        <f>+I168+M168-O168</f>
        <v>8476</v>
      </c>
      <c r="R168" s="101">
        <f>+Q168/2</f>
        <v>4238</v>
      </c>
    </row>
    <row r="169" spans="1:18" s="25" customFormat="1" ht="60" customHeight="1" x14ac:dyDescent="0.25">
      <c r="A169" s="126">
        <v>192</v>
      </c>
      <c r="B169" s="65" t="s">
        <v>112</v>
      </c>
      <c r="C169" s="99" t="s">
        <v>250</v>
      </c>
      <c r="D169" s="99" t="s">
        <v>251</v>
      </c>
      <c r="E169" s="119" t="s">
        <v>258</v>
      </c>
      <c r="F169" s="76" t="s">
        <v>17</v>
      </c>
      <c r="G169" s="122">
        <v>45536</v>
      </c>
      <c r="H169" s="60">
        <v>283.63</v>
      </c>
      <c r="I169" s="52">
        <f>4311*2</f>
        <v>8622</v>
      </c>
      <c r="J169" s="61"/>
      <c r="K169" s="62">
        <f t="shared" ref="K169:K170" si="28">+H169*45</f>
        <v>12763.35</v>
      </c>
      <c r="L169" s="62">
        <f t="shared" ref="L169:L170" si="29">+H169*20*0.25</f>
        <v>1418.15</v>
      </c>
      <c r="M169" s="60">
        <v>0</v>
      </c>
      <c r="N169" s="61"/>
      <c r="O169" s="60">
        <f>73*2</f>
        <v>146</v>
      </c>
      <c r="P169" s="61"/>
      <c r="Q169" s="63">
        <f>+I169+M169-O169</f>
        <v>8476</v>
      </c>
      <c r="R169" s="101">
        <f>+Q169/2</f>
        <v>4238</v>
      </c>
    </row>
    <row r="170" spans="1:18" s="25" customFormat="1" ht="60" customHeight="1" x14ac:dyDescent="0.25">
      <c r="A170" s="126">
        <v>193</v>
      </c>
      <c r="B170" s="65" t="s">
        <v>113</v>
      </c>
      <c r="C170" s="99" t="s">
        <v>252</v>
      </c>
      <c r="D170" s="99" t="s">
        <v>253</v>
      </c>
      <c r="E170" s="119" t="s">
        <v>258</v>
      </c>
      <c r="F170" s="76" t="s">
        <v>17</v>
      </c>
      <c r="G170" s="122">
        <v>45536</v>
      </c>
      <c r="H170" s="60">
        <v>283.63</v>
      </c>
      <c r="I170" s="52">
        <f>4311*2</f>
        <v>8622</v>
      </c>
      <c r="J170" s="61"/>
      <c r="K170" s="62">
        <f t="shared" si="28"/>
        <v>12763.35</v>
      </c>
      <c r="L170" s="62">
        <f t="shared" si="29"/>
        <v>1418.15</v>
      </c>
      <c r="M170" s="60">
        <v>0</v>
      </c>
      <c r="N170" s="61"/>
      <c r="O170" s="60">
        <f>73*2</f>
        <v>146</v>
      </c>
      <c r="P170" s="61"/>
      <c r="Q170" s="63">
        <f>+I170+M170-O170</f>
        <v>8476</v>
      </c>
      <c r="R170" s="101">
        <f>+Q170/2</f>
        <v>4238</v>
      </c>
    </row>
    <row r="171" spans="1:18" s="25" customFormat="1" ht="60" customHeight="1" x14ac:dyDescent="0.25">
      <c r="A171" s="126">
        <v>194</v>
      </c>
      <c r="B171" s="65" t="s">
        <v>110</v>
      </c>
      <c r="C171" s="99" t="s">
        <v>254</v>
      </c>
      <c r="D171" s="99" t="s">
        <v>255</v>
      </c>
      <c r="E171" s="119" t="s">
        <v>30</v>
      </c>
      <c r="F171" s="76" t="s">
        <v>16</v>
      </c>
      <c r="G171" s="122">
        <v>45536</v>
      </c>
      <c r="H171" s="62">
        <v>357.39</v>
      </c>
      <c r="I171" s="62">
        <f>5432*2</f>
        <v>10864</v>
      </c>
      <c r="J171" s="61"/>
      <c r="K171" s="62">
        <f>+H171*45</f>
        <v>16082.55</v>
      </c>
      <c r="L171" s="62">
        <f>+H171*20*0.25</f>
        <v>1786.9499999999998</v>
      </c>
      <c r="M171" s="62">
        <v>0</v>
      </c>
      <c r="N171" s="77"/>
      <c r="O171" s="60">
        <f>432*2</f>
        <v>864</v>
      </c>
      <c r="P171" s="61"/>
      <c r="Q171" s="63">
        <f t="shared" ref="Q171:Q175" si="30">+I171+M171-O171</f>
        <v>10000</v>
      </c>
      <c r="R171" s="101">
        <f t="shared" ref="R171:R175" si="31">+Q171/2</f>
        <v>5000</v>
      </c>
    </row>
    <row r="172" spans="1:18" s="25" customFormat="1" ht="60" customHeight="1" x14ac:dyDescent="0.25">
      <c r="A172" s="126">
        <v>226</v>
      </c>
      <c r="B172" s="65" t="s">
        <v>163</v>
      </c>
      <c r="C172" s="99" t="s">
        <v>259</v>
      </c>
      <c r="D172" s="99" t="s">
        <v>260</v>
      </c>
      <c r="E172" s="119" t="s">
        <v>258</v>
      </c>
      <c r="F172" s="76" t="s">
        <v>17</v>
      </c>
      <c r="G172" s="122">
        <v>45551</v>
      </c>
      <c r="H172" s="60">
        <v>283.63</v>
      </c>
      <c r="I172" s="52">
        <f t="shared" ref="I172:I175" si="32">4311*2</f>
        <v>8622</v>
      </c>
      <c r="J172" s="61"/>
      <c r="K172" s="62">
        <f t="shared" ref="K172:K175" si="33">+H172*45</f>
        <v>12763.35</v>
      </c>
      <c r="L172" s="62">
        <f t="shared" ref="L172:L175" si="34">+H172*20*0.25</f>
        <v>1418.15</v>
      </c>
      <c r="M172" s="60">
        <v>0</v>
      </c>
      <c r="N172" s="61"/>
      <c r="O172" s="60">
        <f t="shared" ref="O172:O175" si="35">73*2</f>
        <v>146</v>
      </c>
      <c r="P172" s="61"/>
      <c r="Q172" s="63">
        <f t="shared" si="30"/>
        <v>8476</v>
      </c>
      <c r="R172" s="101">
        <f t="shared" si="31"/>
        <v>4238</v>
      </c>
    </row>
    <row r="173" spans="1:18" s="25" customFormat="1" ht="60" customHeight="1" x14ac:dyDescent="0.25">
      <c r="A173" s="126">
        <v>250</v>
      </c>
      <c r="B173" s="65" t="s">
        <v>464</v>
      </c>
      <c r="C173" s="99" t="s">
        <v>465</v>
      </c>
      <c r="D173" s="99" t="s">
        <v>466</v>
      </c>
      <c r="E173" s="119" t="s">
        <v>258</v>
      </c>
      <c r="F173" s="76" t="s">
        <v>17</v>
      </c>
      <c r="G173" s="122">
        <v>45885</v>
      </c>
      <c r="H173" s="60">
        <v>283.63</v>
      </c>
      <c r="I173" s="52">
        <f t="shared" si="32"/>
        <v>8622</v>
      </c>
      <c r="J173" s="61"/>
      <c r="K173" s="62">
        <f t="shared" si="33"/>
        <v>12763.35</v>
      </c>
      <c r="L173" s="62">
        <f t="shared" si="34"/>
        <v>1418.15</v>
      </c>
      <c r="M173" s="60">
        <v>0</v>
      </c>
      <c r="N173" s="61"/>
      <c r="O173" s="60">
        <f t="shared" si="35"/>
        <v>146</v>
      </c>
      <c r="P173" s="61"/>
      <c r="Q173" s="63">
        <f t="shared" si="30"/>
        <v>8476</v>
      </c>
      <c r="R173" s="101">
        <f t="shared" si="31"/>
        <v>4238</v>
      </c>
    </row>
    <row r="174" spans="1:18" s="25" customFormat="1" ht="60" customHeight="1" x14ac:dyDescent="0.25">
      <c r="A174" s="126">
        <v>251</v>
      </c>
      <c r="B174" s="65" t="s">
        <v>467</v>
      </c>
      <c r="C174" s="99" t="s">
        <v>468</v>
      </c>
      <c r="D174" s="99" t="s">
        <v>469</v>
      </c>
      <c r="E174" s="119" t="s">
        <v>258</v>
      </c>
      <c r="F174" s="76" t="s">
        <v>17</v>
      </c>
      <c r="G174" s="122">
        <v>45885</v>
      </c>
      <c r="H174" s="60">
        <v>283.63</v>
      </c>
      <c r="I174" s="52">
        <f t="shared" si="32"/>
        <v>8622</v>
      </c>
      <c r="J174" s="61"/>
      <c r="K174" s="62">
        <f t="shared" si="33"/>
        <v>12763.35</v>
      </c>
      <c r="L174" s="62">
        <f t="shared" si="34"/>
        <v>1418.15</v>
      </c>
      <c r="M174" s="60">
        <v>0</v>
      </c>
      <c r="N174" s="61"/>
      <c r="O174" s="60">
        <f t="shared" si="35"/>
        <v>146</v>
      </c>
      <c r="P174" s="61"/>
      <c r="Q174" s="63">
        <f t="shared" si="30"/>
        <v>8476</v>
      </c>
      <c r="R174" s="101">
        <f t="shared" si="31"/>
        <v>4238</v>
      </c>
    </row>
    <row r="175" spans="1:18" s="25" customFormat="1" ht="60" customHeight="1" x14ac:dyDescent="0.25">
      <c r="A175" s="126">
        <v>254</v>
      </c>
      <c r="B175" s="65" t="s">
        <v>470</v>
      </c>
      <c r="C175" s="99" t="s">
        <v>471</v>
      </c>
      <c r="D175" s="99" t="s">
        <v>472</v>
      </c>
      <c r="E175" s="119" t="s">
        <v>258</v>
      </c>
      <c r="F175" s="76" t="s">
        <v>17</v>
      </c>
      <c r="G175" s="122">
        <v>45901</v>
      </c>
      <c r="H175" s="60">
        <v>283.63</v>
      </c>
      <c r="I175" s="52">
        <f t="shared" si="32"/>
        <v>8622</v>
      </c>
      <c r="J175" s="61"/>
      <c r="K175" s="62">
        <f t="shared" si="33"/>
        <v>12763.35</v>
      </c>
      <c r="L175" s="62">
        <f t="shared" si="34"/>
        <v>1418.15</v>
      </c>
      <c r="M175" s="60">
        <v>0</v>
      </c>
      <c r="N175" s="61"/>
      <c r="O175" s="60">
        <f t="shared" si="35"/>
        <v>146</v>
      </c>
      <c r="P175" s="61"/>
      <c r="Q175" s="63">
        <f t="shared" si="30"/>
        <v>8476</v>
      </c>
      <c r="R175" s="101">
        <f t="shared" si="31"/>
        <v>4238</v>
      </c>
    </row>
    <row r="177" spans="1:18" s="6" customFormat="1" ht="30" customHeight="1" thickBot="1" x14ac:dyDescent="0.3">
      <c r="A177" s="107"/>
      <c r="B177" s="55" t="s">
        <v>19</v>
      </c>
      <c r="C177" s="55"/>
      <c r="D177" s="55"/>
      <c r="E177" s="55"/>
      <c r="F177" s="80"/>
      <c r="G177" s="107"/>
      <c r="H177" s="81"/>
      <c r="I177" s="81"/>
      <c r="J177" s="81"/>
      <c r="K177" s="81"/>
      <c r="L177" s="81"/>
      <c r="M177" s="82"/>
      <c r="N177" s="82"/>
      <c r="O177" s="82"/>
      <c r="P177" s="82"/>
      <c r="Q177" s="82"/>
      <c r="R177" s="130"/>
    </row>
    <row r="178" spans="1:18" s="6" customFormat="1" ht="30" customHeight="1" thickBot="1" x14ac:dyDescent="0.3">
      <c r="A178" s="107"/>
      <c r="B178" s="55" t="s">
        <v>20</v>
      </c>
      <c r="C178" s="55"/>
      <c r="D178" s="55"/>
      <c r="E178" s="56"/>
      <c r="F178" s="218" t="s">
        <v>18</v>
      </c>
      <c r="G178" s="219"/>
      <c r="H178" s="255"/>
      <c r="I178" s="153">
        <f t="shared" ref="I178:R178" si="36">SUM(I166:I175)</f>
        <v>88462</v>
      </c>
      <c r="J178" s="151">
        <f t="shared" si="36"/>
        <v>0</v>
      </c>
      <c r="K178" s="153">
        <f t="shared" si="36"/>
        <v>142297.90000000002</v>
      </c>
      <c r="L178" s="151">
        <f t="shared" si="36"/>
        <v>17908.479200000002</v>
      </c>
      <c r="M178" s="153">
        <f t="shared" si="36"/>
        <v>0</v>
      </c>
      <c r="N178" s="151">
        <f t="shared" si="36"/>
        <v>0</v>
      </c>
      <c r="O178" s="153">
        <f t="shared" si="36"/>
        <v>2178</v>
      </c>
      <c r="P178" s="151">
        <f t="shared" si="36"/>
        <v>0</v>
      </c>
      <c r="Q178" s="153">
        <f t="shared" si="36"/>
        <v>86284</v>
      </c>
      <c r="R178" s="152">
        <f t="shared" si="36"/>
        <v>43142</v>
      </c>
    </row>
    <row r="179" spans="1:18" ht="30" customHeight="1" thickBot="1" x14ac:dyDescent="0.3">
      <c r="A179" s="9"/>
      <c r="B179" s="55" t="s">
        <v>21</v>
      </c>
      <c r="C179" s="55"/>
      <c r="D179" s="55"/>
      <c r="E179" s="55"/>
      <c r="F179" s="275" t="s">
        <v>445</v>
      </c>
      <c r="G179" s="276"/>
      <c r="H179" s="276"/>
      <c r="I179" s="167">
        <f>+I178*12</f>
        <v>1061544</v>
      </c>
      <c r="J179" s="165">
        <f t="shared" ref="J179:R179" si="37">+J178*12</f>
        <v>0</v>
      </c>
      <c r="K179" s="167">
        <f>+K178</f>
        <v>142297.90000000002</v>
      </c>
      <c r="L179" s="165">
        <f>+L178</f>
        <v>17908.479200000002</v>
      </c>
      <c r="M179" s="167">
        <f t="shared" si="37"/>
        <v>0</v>
      </c>
      <c r="N179" s="165">
        <f t="shared" si="37"/>
        <v>0</v>
      </c>
      <c r="O179" s="167">
        <f t="shared" si="37"/>
        <v>26136</v>
      </c>
      <c r="P179" s="165">
        <f t="shared" si="37"/>
        <v>0</v>
      </c>
      <c r="Q179" s="167">
        <f t="shared" si="37"/>
        <v>1035408</v>
      </c>
      <c r="R179" s="166">
        <f t="shared" si="37"/>
        <v>517704</v>
      </c>
    </row>
    <row r="180" spans="1:18" ht="30" customHeight="1" x14ac:dyDescent="0.25">
      <c r="A180" s="9"/>
      <c r="B180" s="55" t="s">
        <v>22</v>
      </c>
      <c r="C180" s="55"/>
      <c r="D180" s="55"/>
      <c r="E180" s="55"/>
      <c r="F180" s="58"/>
      <c r="G180" s="10"/>
      <c r="H180" s="58"/>
      <c r="I180" s="59"/>
      <c r="J180" s="59"/>
      <c r="K180" s="59"/>
      <c r="L180" s="59"/>
      <c r="M180" s="59"/>
      <c r="N180" s="59"/>
      <c r="O180" s="59"/>
      <c r="P180" s="59"/>
      <c r="Q180" s="59"/>
      <c r="R180" s="130"/>
    </row>
    <row r="181" spans="1:18" ht="30" customHeight="1" x14ac:dyDescent="0.25">
      <c r="A181" s="9"/>
      <c r="B181" s="55" t="s">
        <v>23</v>
      </c>
      <c r="C181" s="55"/>
      <c r="D181" s="55"/>
      <c r="E181" s="55"/>
      <c r="F181" s="58"/>
      <c r="G181" s="10"/>
      <c r="H181" s="58"/>
      <c r="I181" s="59"/>
      <c r="J181" s="59"/>
      <c r="K181" s="59"/>
      <c r="L181" s="59"/>
      <c r="M181" s="59"/>
      <c r="N181" s="59"/>
      <c r="O181" s="59"/>
      <c r="P181" s="59"/>
      <c r="Q181" s="59"/>
      <c r="R181" s="130"/>
    </row>
    <row r="182" spans="1:18" ht="30" customHeight="1" x14ac:dyDescent="0.25">
      <c r="A182" s="9"/>
      <c r="B182" s="55" t="s">
        <v>549</v>
      </c>
      <c r="C182" s="55"/>
      <c r="D182" s="55"/>
      <c r="E182" s="55"/>
      <c r="F182" s="58"/>
      <c r="G182" s="10"/>
      <c r="H182" s="58"/>
      <c r="I182" s="59"/>
      <c r="J182" s="59"/>
      <c r="K182" s="59"/>
      <c r="L182" s="59"/>
      <c r="M182" s="59"/>
      <c r="N182" s="59"/>
      <c r="O182" s="59"/>
      <c r="P182" s="59"/>
      <c r="Q182" s="59"/>
      <c r="R182" s="130"/>
    </row>
    <row r="183" spans="1:18" ht="30" customHeight="1" x14ac:dyDescent="0.25">
      <c r="A183" s="9"/>
      <c r="B183" s="55"/>
      <c r="C183" s="55"/>
      <c r="D183" s="55"/>
      <c r="E183" s="55"/>
      <c r="F183" s="58"/>
      <c r="G183" s="10"/>
      <c r="H183" s="58"/>
      <c r="I183" s="59"/>
      <c r="J183" s="59"/>
      <c r="K183" s="59"/>
      <c r="L183" s="59"/>
      <c r="M183" s="59"/>
      <c r="N183" s="59"/>
      <c r="O183" s="59"/>
      <c r="P183" s="59"/>
      <c r="Q183" s="59"/>
      <c r="R183" s="130"/>
    </row>
    <row r="184" spans="1:18" s="18" customFormat="1" ht="28.5" customHeight="1" x14ac:dyDescent="0.25">
      <c r="A184" s="220" t="s">
        <v>32</v>
      </c>
      <c r="B184" s="220"/>
      <c r="C184" s="220"/>
      <c r="D184" s="220"/>
      <c r="E184" s="220"/>
      <c r="F184" s="220"/>
      <c r="G184" s="220"/>
      <c r="H184" s="220"/>
      <c r="I184" s="220"/>
      <c r="J184" s="220"/>
      <c r="K184" s="220"/>
      <c r="L184" s="220"/>
      <c r="M184" s="220"/>
      <c r="N184" s="220"/>
      <c r="O184" s="220"/>
      <c r="P184" s="220"/>
      <c r="Q184" s="220"/>
      <c r="R184" s="130"/>
    </row>
    <row r="185" spans="1:18" s="18" customFormat="1" ht="28.5" customHeight="1" x14ac:dyDescent="0.25">
      <c r="A185" s="221" t="s">
        <v>0</v>
      </c>
      <c r="B185" s="221"/>
      <c r="C185" s="221"/>
      <c r="D185" s="221"/>
      <c r="E185" s="221"/>
      <c r="F185" s="221"/>
      <c r="G185" s="221"/>
      <c r="H185" s="221"/>
      <c r="I185" s="221"/>
      <c r="J185" s="221"/>
      <c r="K185" s="221"/>
      <c r="L185" s="221"/>
      <c r="M185" s="221"/>
      <c r="N185" s="221"/>
      <c r="O185" s="221"/>
      <c r="P185" s="221"/>
      <c r="Q185" s="221"/>
      <c r="R185" s="130"/>
    </row>
    <row r="186" spans="1:18" ht="30" customHeight="1" x14ac:dyDescent="0.25">
      <c r="A186" s="221" t="s">
        <v>453</v>
      </c>
      <c r="B186" s="221"/>
      <c r="C186" s="221"/>
      <c r="D186" s="221"/>
      <c r="E186" s="221"/>
      <c r="F186" s="221"/>
      <c r="G186" s="221"/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130"/>
    </row>
    <row r="187" spans="1:18" s="4" customFormat="1" ht="24.95" customHeight="1" x14ac:dyDescent="0.25">
      <c r="A187" s="174"/>
      <c r="B187" s="261" t="s">
        <v>54</v>
      </c>
      <c r="C187" s="261"/>
      <c r="D187" s="261"/>
      <c r="E187" s="261"/>
      <c r="F187" s="261"/>
      <c r="G187" s="261"/>
      <c r="H187" s="261"/>
      <c r="I187" s="261"/>
      <c r="J187" s="261"/>
      <c r="K187" s="261"/>
      <c r="L187" s="261"/>
      <c r="M187" s="261"/>
      <c r="N187" s="261"/>
      <c r="O187" s="261"/>
      <c r="P187" s="261"/>
      <c r="Q187" s="261"/>
      <c r="R187" s="261"/>
    </row>
    <row r="188" spans="1:18" s="19" customFormat="1" ht="6.75" customHeight="1" x14ac:dyDescent="0.25">
      <c r="A188" s="174"/>
      <c r="B188" s="261"/>
      <c r="C188" s="261"/>
      <c r="D188" s="261"/>
      <c r="E188" s="261"/>
      <c r="F188" s="261"/>
      <c r="G188" s="261"/>
      <c r="H188" s="261"/>
      <c r="I188" s="261"/>
      <c r="J188" s="261"/>
      <c r="K188" s="261"/>
      <c r="L188" s="261"/>
      <c r="M188" s="261"/>
      <c r="N188" s="261"/>
      <c r="O188" s="261"/>
      <c r="P188" s="261"/>
      <c r="Q188" s="261"/>
      <c r="R188" s="261"/>
    </row>
    <row r="189" spans="1:18" s="7" customFormat="1" ht="27.95" customHeight="1" x14ac:dyDescent="0.25">
      <c r="A189" s="271"/>
      <c r="B189" s="225" t="s">
        <v>2</v>
      </c>
      <c r="C189" s="271" t="s">
        <v>178</v>
      </c>
      <c r="D189" s="271" t="s">
        <v>179</v>
      </c>
      <c r="E189" s="225" t="s">
        <v>3</v>
      </c>
      <c r="F189" s="215" t="s">
        <v>4</v>
      </c>
      <c r="G189" s="216" t="s">
        <v>5</v>
      </c>
      <c r="H189" s="215" t="s">
        <v>6</v>
      </c>
      <c r="I189" s="215" t="s">
        <v>7</v>
      </c>
      <c r="J189" s="215" t="s">
        <v>8</v>
      </c>
      <c r="K189" s="215" t="s">
        <v>9</v>
      </c>
      <c r="L189" s="215" t="s">
        <v>10</v>
      </c>
      <c r="M189" s="215" t="s">
        <v>11</v>
      </c>
      <c r="N189" s="215" t="s">
        <v>12</v>
      </c>
      <c r="O189" s="215" t="s">
        <v>13</v>
      </c>
      <c r="P189" s="215" t="s">
        <v>14</v>
      </c>
      <c r="Q189" s="215" t="s">
        <v>15</v>
      </c>
      <c r="R189" s="261" t="s">
        <v>140</v>
      </c>
    </row>
    <row r="190" spans="1:18" s="7" customFormat="1" ht="14.25" customHeight="1" x14ac:dyDescent="0.25">
      <c r="A190" s="272"/>
      <c r="B190" s="226"/>
      <c r="C190" s="271"/>
      <c r="D190" s="271"/>
      <c r="E190" s="225"/>
      <c r="F190" s="215"/>
      <c r="G190" s="216"/>
      <c r="H190" s="215"/>
      <c r="I190" s="215"/>
      <c r="J190" s="215"/>
      <c r="K190" s="215"/>
      <c r="L190" s="215"/>
      <c r="M190" s="215"/>
      <c r="N190" s="217"/>
      <c r="O190" s="217"/>
      <c r="P190" s="215"/>
      <c r="Q190" s="215"/>
      <c r="R190" s="261"/>
    </row>
    <row r="191" spans="1:18" s="38" customFormat="1" ht="60" customHeight="1" x14ac:dyDescent="0.25">
      <c r="A191" s="99">
        <v>11</v>
      </c>
      <c r="B191" s="119" t="s">
        <v>44</v>
      </c>
      <c r="C191" s="99" t="s">
        <v>371</v>
      </c>
      <c r="D191" s="99" t="s">
        <v>372</v>
      </c>
      <c r="E191" s="119" t="s">
        <v>49</v>
      </c>
      <c r="F191" s="79" t="s">
        <v>35</v>
      </c>
      <c r="G191" s="122">
        <v>33298</v>
      </c>
      <c r="H191" s="60">
        <v>283.63</v>
      </c>
      <c r="I191" s="52">
        <f t="shared" ref="I191:I223" si="38">4311*2</f>
        <v>8622</v>
      </c>
      <c r="J191" s="61"/>
      <c r="K191" s="62">
        <f t="shared" ref="K191:K205" si="39">+H191*65</f>
        <v>18435.95</v>
      </c>
      <c r="L191" s="62">
        <f t="shared" ref="L191:L205" si="40">+H191*26*0.42</f>
        <v>3097.2395999999999</v>
      </c>
      <c r="M191" s="60">
        <v>0</v>
      </c>
      <c r="N191" s="61"/>
      <c r="O191" s="60">
        <f t="shared" ref="O191:O223" si="41">73*2</f>
        <v>146</v>
      </c>
      <c r="P191" s="61"/>
      <c r="Q191" s="63">
        <f t="shared" ref="Q191:Q217" si="42">+I191+M191-O191</f>
        <v>8476</v>
      </c>
      <c r="R191" s="101">
        <f t="shared" ref="R191:R217" si="43">+Q191/2</f>
        <v>4238</v>
      </c>
    </row>
    <row r="192" spans="1:18" s="21" customFormat="1" ht="60" customHeight="1" x14ac:dyDescent="0.25">
      <c r="A192" s="99">
        <v>2</v>
      </c>
      <c r="B192" s="119" t="s">
        <v>373</v>
      </c>
      <c r="C192" s="99" t="s">
        <v>374</v>
      </c>
      <c r="D192" s="99" t="s">
        <v>375</v>
      </c>
      <c r="E192" s="119" t="s">
        <v>256</v>
      </c>
      <c r="F192" s="79" t="s">
        <v>35</v>
      </c>
      <c r="G192" s="122">
        <v>32874</v>
      </c>
      <c r="H192" s="60">
        <v>283.63</v>
      </c>
      <c r="I192" s="52">
        <f t="shared" si="38"/>
        <v>8622</v>
      </c>
      <c r="J192" s="61"/>
      <c r="K192" s="62">
        <f t="shared" si="39"/>
        <v>18435.95</v>
      </c>
      <c r="L192" s="62">
        <f t="shared" si="40"/>
        <v>3097.2395999999999</v>
      </c>
      <c r="M192" s="60">
        <v>0</v>
      </c>
      <c r="N192" s="61"/>
      <c r="O192" s="60">
        <f t="shared" si="41"/>
        <v>146</v>
      </c>
      <c r="P192" s="61"/>
      <c r="Q192" s="63">
        <f t="shared" si="42"/>
        <v>8476</v>
      </c>
      <c r="R192" s="101">
        <f t="shared" si="43"/>
        <v>4238</v>
      </c>
    </row>
    <row r="193" spans="1:18" s="21" customFormat="1" ht="60" customHeight="1" x14ac:dyDescent="0.25">
      <c r="A193" s="99">
        <v>4</v>
      </c>
      <c r="B193" s="119" t="s">
        <v>376</v>
      </c>
      <c r="C193" s="99" t="s">
        <v>377</v>
      </c>
      <c r="D193" s="99" t="s">
        <v>378</v>
      </c>
      <c r="E193" s="119" t="s">
        <v>550</v>
      </c>
      <c r="F193" s="79" t="s">
        <v>35</v>
      </c>
      <c r="G193" s="122">
        <v>27030</v>
      </c>
      <c r="H193" s="60">
        <v>283.63</v>
      </c>
      <c r="I193" s="52">
        <f t="shared" si="38"/>
        <v>8622</v>
      </c>
      <c r="J193" s="61"/>
      <c r="K193" s="62">
        <f t="shared" si="39"/>
        <v>18435.95</v>
      </c>
      <c r="L193" s="62">
        <f t="shared" si="40"/>
        <v>3097.2395999999999</v>
      </c>
      <c r="M193" s="60">
        <v>0</v>
      </c>
      <c r="N193" s="61"/>
      <c r="O193" s="60">
        <f t="shared" si="41"/>
        <v>146</v>
      </c>
      <c r="P193" s="61"/>
      <c r="Q193" s="63">
        <f t="shared" si="42"/>
        <v>8476</v>
      </c>
      <c r="R193" s="101">
        <f t="shared" si="43"/>
        <v>4238</v>
      </c>
    </row>
    <row r="194" spans="1:18" s="21" customFormat="1" ht="60" customHeight="1" x14ac:dyDescent="0.25">
      <c r="A194" s="99">
        <v>5</v>
      </c>
      <c r="B194" s="119" t="s">
        <v>379</v>
      </c>
      <c r="C194" s="99" t="s">
        <v>380</v>
      </c>
      <c r="D194" s="99" t="s">
        <v>381</v>
      </c>
      <c r="E194" s="119" t="s">
        <v>48</v>
      </c>
      <c r="F194" s="79" t="s">
        <v>35</v>
      </c>
      <c r="G194" s="122">
        <v>30697</v>
      </c>
      <c r="H194" s="60">
        <v>283.63</v>
      </c>
      <c r="I194" s="52">
        <f t="shared" si="38"/>
        <v>8622</v>
      </c>
      <c r="J194" s="61"/>
      <c r="K194" s="62">
        <f t="shared" si="39"/>
        <v>18435.95</v>
      </c>
      <c r="L194" s="62">
        <f t="shared" si="40"/>
        <v>3097.2395999999999</v>
      </c>
      <c r="M194" s="60">
        <v>0</v>
      </c>
      <c r="N194" s="61"/>
      <c r="O194" s="60">
        <f t="shared" si="41"/>
        <v>146</v>
      </c>
      <c r="P194" s="61"/>
      <c r="Q194" s="63">
        <f t="shared" si="42"/>
        <v>8476</v>
      </c>
      <c r="R194" s="101">
        <f t="shared" si="43"/>
        <v>4238</v>
      </c>
    </row>
    <row r="195" spans="1:18" s="21" customFormat="1" ht="60" customHeight="1" x14ac:dyDescent="0.25">
      <c r="A195" s="99">
        <v>6</v>
      </c>
      <c r="B195" s="119" t="s">
        <v>382</v>
      </c>
      <c r="C195" s="99" t="s">
        <v>383</v>
      </c>
      <c r="D195" s="99" t="s">
        <v>384</v>
      </c>
      <c r="E195" s="119" t="s">
        <v>550</v>
      </c>
      <c r="F195" s="79" t="s">
        <v>35</v>
      </c>
      <c r="G195" s="122">
        <v>31048</v>
      </c>
      <c r="H195" s="60">
        <v>283.63</v>
      </c>
      <c r="I195" s="52">
        <f t="shared" si="38"/>
        <v>8622</v>
      </c>
      <c r="J195" s="61"/>
      <c r="K195" s="62">
        <f t="shared" si="39"/>
        <v>18435.95</v>
      </c>
      <c r="L195" s="62">
        <f t="shared" si="40"/>
        <v>3097.2395999999999</v>
      </c>
      <c r="M195" s="60">
        <v>0</v>
      </c>
      <c r="N195" s="61"/>
      <c r="O195" s="60">
        <f t="shared" si="41"/>
        <v>146</v>
      </c>
      <c r="P195" s="61"/>
      <c r="Q195" s="63">
        <f t="shared" si="42"/>
        <v>8476</v>
      </c>
      <c r="R195" s="101">
        <f t="shared" si="43"/>
        <v>4238</v>
      </c>
    </row>
    <row r="196" spans="1:18" s="38" customFormat="1" ht="60" customHeight="1" x14ac:dyDescent="0.25">
      <c r="A196" s="99">
        <v>7</v>
      </c>
      <c r="B196" s="119" t="s">
        <v>385</v>
      </c>
      <c r="C196" s="99" t="s">
        <v>386</v>
      </c>
      <c r="D196" s="99" t="s">
        <v>387</v>
      </c>
      <c r="E196" s="119" t="s">
        <v>550</v>
      </c>
      <c r="F196" s="79" t="s">
        <v>35</v>
      </c>
      <c r="G196" s="122">
        <v>31413</v>
      </c>
      <c r="H196" s="60">
        <v>283.63</v>
      </c>
      <c r="I196" s="52">
        <f t="shared" si="38"/>
        <v>8622</v>
      </c>
      <c r="J196" s="61"/>
      <c r="K196" s="62">
        <f t="shared" si="39"/>
        <v>18435.95</v>
      </c>
      <c r="L196" s="62">
        <f t="shared" si="40"/>
        <v>3097.2395999999999</v>
      </c>
      <c r="M196" s="60">
        <v>0</v>
      </c>
      <c r="N196" s="61"/>
      <c r="O196" s="60">
        <f t="shared" si="41"/>
        <v>146</v>
      </c>
      <c r="P196" s="61"/>
      <c r="Q196" s="63">
        <f t="shared" si="42"/>
        <v>8476</v>
      </c>
      <c r="R196" s="101">
        <f t="shared" si="43"/>
        <v>4238</v>
      </c>
    </row>
    <row r="197" spans="1:18" s="21" customFormat="1" ht="60" customHeight="1" x14ac:dyDescent="0.25">
      <c r="A197" s="99">
        <v>8</v>
      </c>
      <c r="B197" s="119" t="s">
        <v>388</v>
      </c>
      <c r="C197" s="99" t="s">
        <v>389</v>
      </c>
      <c r="D197" s="99" t="s">
        <v>390</v>
      </c>
      <c r="E197" s="119" t="s">
        <v>257</v>
      </c>
      <c r="F197" s="79" t="s">
        <v>35</v>
      </c>
      <c r="G197" s="122">
        <v>31786</v>
      </c>
      <c r="H197" s="60">
        <v>283.63</v>
      </c>
      <c r="I197" s="52">
        <f t="shared" si="38"/>
        <v>8622</v>
      </c>
      <c r="J197" s="61"/>
      <c r="K197" s="62">
        <f t="shared" si="39"/>
        <v>18435.95</v>
      </c>
      <c r="L197" s="62">
        <f t="shared" si="40"/>
        <v>3097.2395999999999</v>
      </c>
      <c r="M197" s="60">
        <v>0</v>
      </c>
      <c r="N197" s="61"/>
      <c r="O197" s="60">
        <f t="shared" si="41"/>
        <v>146</v>
      </c>
      <c r="P197" s="61"/>
      <c r="Q197" s="63">
        <f t="shared" si="42"/>
        <v>8476</v>
      </c>
      <c r="R197" s="101">
        <f t="shared" si="43"/>
        <v>4238</v>
      </c>
    </row>
    <row r="198" spans="1:18" s="21" customFormat="1" ht="60" customHeight="1" x14ac:dyDescent="0.25">
      <c r="A198" s="99">
        <v>13</v>
      </c>
      <c r="B198" s="119" t="s">
        <v>391</v>
      </c>
      <c r="C198" s="99" t="s">
        <v>392</v>
      </c>
      <c r="D198" s="99" t="s">
        <v>393</v>
      </c>
      <c r="E198" s="119" t="s">
        <v>550</v>
      </c>
      <c r="F198" s="79" t="s">
        <v>35</v>
      </c>
      <c r="G198" s="122">
        <v>33970</v>
      </c>
      <c r="H198" s="60">
        <v>283.63</v>
      </c>
      <c r="I198" s="52">
        <f t="shared" si="38"/>
        <v>8622</v>
      </c>
      <c r="J198" s="61"/>
      <c r="K198" s="62">
        <f t="shared" si="39"/>
        <v>18435.95</v>
      </c>
      <c r="L198" s="62">
        <f t="shared" si="40"/>
        <v>3097.2395999999999</v>
      </c>
      <c r="M198" s="60">
        <v>0</v>
      </c>
      <c r="N198" s="61"/>
      <c r="O198" s="60">
        <f t="shared" si="41"/>
        <v>146</v>
      </c>
      <c r="P198" s="61"/>
      <c r="Q198" s="63">
        <f t="shared" si="42"/>
        <v>8476</v>
      </c>
      <c r="R198" s="101">
        <f t="shared" si="43"/>
        <v>4238</v>
      </c>
    </row>
    <row r="199" spans="1:18" s="21" customFormat="1" ht="60" customHeight="1" x14ac:dyDescent="0.25">
      <c r="A199" s="99">
        <v>14</v>
      </c>
      <c r="B199" s="119" t="s">
        <v>45</v>
      </c>
      <c r="C199" s="99" t="s">
        <v>394</v>
      </c>
      <c r="D199" s="99" t="s">
        <v>395</v>
      </c>
      <c r="E199" s="119" t="s">
        <v>441</v>
      </c>
      <c r="F199" s="79" t="s">
        <v>35</v>
      </c>
      <c r="G199" s="122">
        <v>33970</v>
      </c>
      <c r="H199" s="60">
        <v>283.63</v>
      </c>
      <c r="I199" s="52">
        <f t="shared" si="38"/>
        <v>8622</v>
      </c>
      <c r="J199" s="61"/>
      <c r="K199" s="62">
        <f t="shared" si="39"/>
        <v>18435.95</v>
      </c>
      <c r="L199" s="62">
        <f t="shared" si="40"/>
        <v>3097.2395999999999</v>
      </c>
      <c r="M199" s="60">
        <v>0</v>
      </c>
      <c r="N199" s="61"/>
      <c r="O199" s="60">
        <f t="shared" si="41"/>
        <v>146</v>
      </c>
      <c r="P199" s="61"/>
      <c r="Q199" s="63">
        <f t="shared" si="42"/>
        <v>8476</v>
      </c>
      <c r="R199" s="101">
        <f t="shared" si="43"/>
        <v>4238</v>
      </c>
    </row>
    <row r="200" spans="1:18" s="21" customFormat="1" ht="60" customHeight="1" x14ac:dyDescent="0.25">
      <c r="A200" s="99">
        <v>16</v>
      </c>
      <c r="B200" s="119" t="s">
        <v>396</v>
      </c>
      <c r="C200" s="99" t="s">
        <v>397</v>
      </c>
      <c r="D200" s="99" t="s">
        <v>398</v>
      </c>
      <c r="E200" s="119" t="s">
        <v>50</v>
      </c>
      <c r="F200" s="79" t="s">
        <v>35</v>
      </c>
      <c r="G200" s="122">
        <v>34151</v>
      </c>
      <c r="H200" s="60">
        <v>283.63</v>
      </c>
      <c r="I200" s="52">
        <f t="shared" si="38"/>
        <v>8622</v>
      </c>
      <c r="J200" s="61"/>
      <c r="K200" s="62">
        <f t="shared" si="39"/>
        <v>18435.95</v>
      </c>
      <c r="L200" s="62">
        <f t="shared" si="40"/>
        <v>3097.2395999999999</v>
      </c>
      <c r="M200" s="60">
        <v>0</v>
      </c>
      <c r="N200" s="61"/>
      <c r="O200" s="60">
        <f t="shared" si="41"/>
        <v>146</v>
      </c>
      <c r="P200" s="61"/>
      <c r="Q200" s="63">
        <f t="shared" si="42"/>
        <v>8476</v>
      </c>
      <c r="R200" s="101">
        <f t="shared" si="43"/>
        <v>4238</v>
      </c>
    </row>
    <row r="201" spans="1:18" s="21" customFormat="1" ht="60" customHeight="1" x14ac:dyDescent="0.25">
      <c r="A201" s="99">
        <v>21</v>
      </c>
      <c r="B201" s="119" t="s">
        <v>399</v>
      </c>
      <c r="C201" s="99" t="s">
        <v>400</v>
      </c>
      <c r="D201" s="99" t="s">
        <v>401</v>
      </c>
      <c r="E201" s="119" t="s">
        <v>85</v>
      </c>
      <c r="F201" s="79" t="s">
        <v>35</v>
      </c>
      <c r="G201" s="122">
        <v>34669</v>
      </c>
      <c r="H201" s="60">
        <v>283.63</v>
      </c>
      <c r="I201" s="52">
        <f t="shared" si="38"/>
        <v>8622</v>
      </c>
      <c r="J201" s="61"/>
      <c r="K201" s="62">
        <f t="shared" si="39"/>
        <v>18435.95</v>
      </c>
      <c r="L201" s="62">
        <f t="shared" si="40"/>
        <v>3097.2395999999999</v>
      </c>
      <c r="M201" s="60">
        <v>0</v>
      </c>
      <c r="N201" s="61"/>
      <c r="O201" s="60">
        <f t="shared" si="41"/>
        <v>146</v>
      </c>
      <c r="P201" s="61"/>
      <c r="Q201" s="63">
        <f t="shared" si="42"/>
        <v>8476</v>
      </c>
      <c r="R201" s="101">
        <f t="shared" si="43"/>
        <v>4238</v>
      </c>
    </row>
    <row r="202" spans="1:18" s="21" customFormat="1" ht="60" customHeight="1" x14ac:dyDescent="0.25">
      <c r="A202" s="99">
        <v>22</v>
      </c>
      <c r="B202" s="119" t="s">
        <v>402</v>
      </c>
      <c r="C202" s="99" t="s">
        <v>403</v>
      </c>
      <c r="D202" s="99" t="s">
        <v>404</v>
      </c>
      <c r="E202" s="119" t="s">
        <v>51</v>
      </c>
      <c r="F202" s="79" t="s">
        <v>35</v>
      </c>
      <c r="G202" s="122">
        <v>34669</v>
      </c>
      <c r="H202" s="60">
        <v>283.63</v>
      </c>
      <c r="I202" s="52">
        <f t="shared" si="38"/>
        <v>8622</v>
      </c>
      <c r="J202" s="61"/>
      <c r="K202" s="62">
        <f t="shared" si="39"/>
        <v>18435.95</v>
      </c>
      <c r="L202" s="62">
        <f t="shared" si="40"/>
        <v>3097.2395999999999</v>
      </c>
      <c r="M202" s="60">
        <v>0</v>
      </c>
      <c r="N202" s="61"/>
      <c r="O202" s="60">
        <f t="shared" si="41"/>
        <v>146</v>
      </c>
      <c r="P202" s="61"/>
      <c r="Q202" s="63">
        <f t="shared" si="42"/>
        <v>8476</v>
      </c>
      <c r="R202" s="101">
        <f t="shared" si="43"/>
        <v>4238</v>
      </c>
    </row>
    <row r="203" spans="1:18" s="21" customFormat="1" ht="60" customHeight="1" x14ac:dyDescent="0.25">
      <c r="A203" s="99">
        <v>23</v>
      </c>
      <c r="B203" s="119" t="s">
        <v>46</v>
      </c>
      <c r="C203" s="99" t="s">
        <v>405</v>
      </c>
      <c r="D203" s="99" t="s">
        <v>406</v>
      </c>
      <c r="E203" s="119" t="s">
        <v>442</v>
      </c>
      <c r="F203" s="79" t="s">
        <v>35</v>
      </c>
      <c r="G203" s="122">
        <v>42886</v>
      </c>
      <c r="H203" s="60">
        <v>283.63</v>
      </c>
      <c r="I203" s="52">
        <f t="shared" si="38"/>
        <v>8622</v>
      </c>
      <c r="J203" s="61"/>
      <c r="K203" s="62">
        <f t="shared" si="39"/>
        <v>18435.95</v>
      </c>
      <c r="L203" s="62">
        <f t="shared" si="40"/>
        <v>3097.2395999999999</v>
      </c>
      <c r="M203" s="60">
        <v>0</v>
      </c>
      <c r="N203" s="61"/>
      <c r="O203" s="60">
        <f t="shared" si="41"/>
        <v>146</v>
      </c>
      <c r="P203" s="61"/>
      <c r="Q203" s="63">
        <f t="shared" si="42"/>
        <v>8476</v>
      </c>
      <c r="R203" s="101">
        <f t="shared" si="43"/>
        <v>4238</v>
      </c>
    </row>
    <row r="204" spans="1:18" s="21" customFormat="1" ht="60" customHeight="1" x14ac:dyDescent="0.25">
      <c r="A204" s="99">
        <v>24</v>
      </c>
      <c r="B204" s="119" t="s">
        <v>47</v>
      </c>
      <c r="C204" s="99" t="s">
        <v>407</v>
      </c>
      <c r="D204" s="99" t="s">
        <v>408</v>
      </c>
      <c r="E204" s="119" t="s">
        <v>52</v>
      </c>
      <c r="F204" s="79" t="s">
        <v>35</v>
      </c>
      <c r="G204" s="122">
        <v>43344</v>
      </c>
      <c r="H204" s="60">
        <v>283.63</v>
      </c>
      <c r="I204" s="52">
        <f t="shared" si="38"/>
        <v>8622</v>
      </c>
      <c r="J204" s="61"/>
      <c r="K204" s="62">
        <f t="shared" si="39"/>
        <v>18435.95</v>
      </c>
      <c r="L204" s="62">
        <f t="shared" si="40"/>
        <v>3097.2395999999999</v>
      </c>
      <c r="M204" s="60">
        <v>0</v>
      </c>
      <c r="N204" s="61"/>
      <c r="O204" s="60">
        <f t="shared" si="41"/>
        <v>146</v>
      </c>
      <c r="P204" s="61"/>
      <c r="Q204" s="63">
        <f t="shared" si="42"/>
        <v>8476</v>
      </c>
      <c r="R204" s="101">
        <f t="shared" si="43"/>
        <v>4238</v>
      </c>
    </row>
    <row r="205" spans="1:18" s="21" customFormat="1" ht="60" customHeight="1" x14ac:dyDescent="0.25">
      <c r="A205" s="99">
        <v>152</v>
      </c>
      <c r="B205" s="119" t="s">
        <v>409</v>
      </c>
      <c r="C205" s="99" t="s">
        <v>410</v>
      </c>
      <c r="D205" s="99" t="s">
        <v>411</v>
      </c>
      <c r="E205" s="119" t="s">
        <v>443</v>
      </c>
      <c r="F205" s="76" t="s">
        <v>35</v>
      </c>
      <c r="G205" s="122">
        <v>45292</v>
      </c>
      <c r="H205" s="60">
        <v>283.63</v>
      </c>
      <c r="I205" s="52">
        <f t="shared" si="38"/>
        <v>8622</v>
      </c>
      <c r="J205" s="61"/>
      <c r="K205" s="62">
        <f t="shared" si="39"/>
        <v>18435.95</v>
      </c>
      <c r="L205" s="62">
        <f t="shared" si="40"/>
        <v>3097.2395999999999</v>
      </c>
      <c r="M205" s="60">
        <v>0</v>
      </c>
      <c r="N205" s="61"/>
      <c r="O205" s="60">
        <f t="shared" si="41"/>
        <v>146</v>
      </c>
      <c r="P205" s="61"/>
      <c r="Q205" s="63">
        <f t="shared" si="42"/>
        <v>8476</v>
      </c>
      <c r="R205" s="101">
        <f t="shared" si="43"/>
        <v>4238</v>
      </c>
    </row>
    <row r="206" spans="1:18" s="21" customFormat="1" ht="60" customHeight="1" x14ac:dyDescent="0.25">
      <c r="A206" s="99">
        <v>196</v>
      </c>
      <c r="B206" s="119" t="s">
        <v>147</v>
      </c>
      <c r="C206" s="99" t="s">
        <v>412</v>
      </c>
      <c r="D206" s="99" t="s">
        <v>413</v>
      </c>
      <c r="E206" s="119" t="s">
        <v>442</v>
      </c>
      <c r="F206" s="79" t="s">
        <v>17</v>
      </c>
      <c r="G206" s="122">
        <v>45536</v>
      </c>
      <c r="H206" s="60">
        <v>283.63</v>
      </c>
      <c r="I206" s="52">
        <f t="shared" si="38"/>
        <v>8622</v>
      </c>
      <c r="J206" s="61"/>
      <c r="K206" s="62">
        <f>+H206*45</f>
        <v>12763.35</v>
      </c>
      <c r="L206" s="62">
        <f>+H206*20*0.25</f>
        <v>1418.15</v>
      </c>
      <c r="M206" s="60">
        <v>0</v>
      </c>
      <c r="N206" s="61"/>
      <c r="O206" s="60">
        <f t="shared" si="41"/>
        <v>146</v>
      </c>
      <c r="P206" s="61"/>
      <c r="Q206" s="63">
        <f t="shared" si="42"/>
        <v>8476</v>
      </c>
      <c r="R206" s="101">
        <f t="shared" si="43"/>
        <v>4238</v>
      </c>
    </row>
    <row r="207" spans="1:18" s="21" customFormat="1" ht="60" customHeight="1" x14ac:dyDescent="0.25">
      <c r="A207" s="99">
        <v>198</v>
      </c>
      <c r="B207" s="119" t="s">
        <v>139</v>
      </c>
      <c r="C207" s="99" t="s">
        <v>414</v>
      </c>
      <c r="D207" s="99" t="s">
        <v>415</v>
      </c>
      <c r="E207" s="119" t="s">
        <v>26</v>
      </c>
      <c r="F207" s="79" t="s">
        <v>17</v>
      </c>
      <c r="G207" s="122">
        <v>45536</v>
      </c>
      <c r="H207" s="60">
        <v>283.63</v>
      </c>
      <c r="I207" s="52">
        <f t="shared" si="38"/>
        <v>8622</v>
      </c>
      <c r="J207" s="61"/>
      <c r="K207" s="62">
        <f t="shared" ref="K207:K223" si="44">+H207*45</f>
        <v>12763.35</v>
      </c>
      <c r="L207" s="62">
        <f t="shared" ref="L207:L223" si="45">+H207*20*0.25</f>
        <v>1418.15</v>
      </c>
      <c r="M207" s="60">
        <v>0</v>
      </c>
      <c r="N207" s="61"/>
      <c r="O207" s="60">
        <f t="shared" si="41"/>
        <v>146</v>
      </c>
      <c r="P207" s="61"/>
      <c r="Q207" s="63">
        <f t="shared" si="42"/>
        <v>8476</v>
      </c>
      <c r="R207" s="101">
        <f t="shared" si="43"/>
        <v>4238</v>
      </c>
    </row>
    <row r="208" spans="1:18" s="21" customFormat="1" ht="60" customHeight="1" x14ac:dyDescent="0.25">
      <c r="A208" s="99">
        <v>199</v>
      </c>
      <c r="B208" s="119" t="s">
        <v>148</v>
      </c>
      <c r="C208" s="99" t="s">
        <v>416</v>
      </c>
      <c r="D208" s="99" t="s">
        <v>417</v>
      </c>
      <c r="E208" s="119" t="s">
        <v>175</v>
      </c>
      <c r="F208" s="79" t="s">
        <v>17</v>
      </c>
      <c r="G208" s="122">
        <v>45536</v>
      </c>
      <c r="H208" s="60">
        <v>283.63</v>
      </c>
      <c r="I208" s="52">
        <f t="shared" si="38"/>
        <v>8622</v>
      </c>
      <c r="J208" s="61"/>
      <c r="K208" s="62">
        <f t="shared" si="44"/>
        <v>12763.35</v>
      </c>
      <c r="L208" s="62">
        <f t="shared" si="45"/>
        <v>1418.15</v>
      </c>
      <c r="M208" s="60">
        <v>0</v>
      </c>
      <c r="N208" s="61"/>
      <c r="O208" s="60">
        <f t="shared" si="41"/>
        <v>146</v>
      </c>
      <c r="P208" s="61"/>
      <c r="Q208" s="63">
        <f t="shared" si="42"/>
        <v>8476</v>
      </c>
      <c r="R208" s="101">
        <f t="shared" si="43"/>
        <v>4238</v>
      </c>
    </row>
    <row r="209" spans="1:18" s="21" customFormat="1" ht="60" customHeight="1" x14ac:dyDescent="0.25">
      <c r="A209" s="99">
        <v>200</v>
      </c>
      <c r="B209" s="119" t="s">
        <v>93</v>
      </c>
      <c r="C209" s="99" t="s">
        <v>418</v>
      </c>
      <c r="D209" s="99" t="s">
        <v>419</v>
      </c>
      <c r="E209" s="119" t="s">
        <v>175</v>
      </c>
      <c r="F209" s="79" t="s">
        <v>17</v>
      </c>
      <c r="G209" s="122">
        <v>45536</v>
      </c>
      <c r="H209" s="60">
        <v>283.63</v>
      </c>
      <c r="I209" s="52">
        <f t="shared" si="38"/>
        <v>8622</v>
      </c>
      <c r="J209" s="61"/>
      <c r="K209" s="62">
        <f t="shared" si="44"/>
        <v>12763.35</v>
      </c>
      <c r="L209" s="62">
        <f t="shared" si="45"/>
        <v>1418.15</v>
      </c>
      <c r="M209" s="60">
        <v>0</v>
      </c>
      <c r="N209" s="61"/>
      <c r="O209" s="60">
        <f t="shared" si="41"/>
        <v>146</v>
      </c>
      <c r="P209" s="61"/>
      <c r="Q209" s="63">
        <f t="shared" si="42"/>
        <v>8476</v>
      </c>
      <c r="R209" s="101">
        <f t="shared" si="43"/>
        <v>4238</v>
      </c>
    </row>
    <row r="210" spans="1:18" s="21" customFormat="1" ht="60" customHeight="1" x14ac:dyDescent="0.25">
      <c r="A210" s="99">
        <v>197</v>
      </c>
      <c r="B210" s="119" t="s">
        <v>92</v>
      </c>
      <c r="C210" s="99" t="s">
        <v>420</v>
      </c>
      <c r="D210" s="99" t="s">
        <v>421</v>
      </c>
      <c r="E210" s="119" t="s">
        <v>175</v>
      </c>
      <c r="F210" s="79" t="s">
        <v>17</v>
      </c>
      <c r="G210" s="122">
        <v>45536</v>
      </c>
      <c r="H210" s="60">
        <v>283.63</v>
      </c>
      <c r="I210" s="52">
        <f t="shared" si="38"/>
        <v>8622</v>
      </c>
      <c r="J210" s="61"/>
      <c r="K210" s="62">
        <f t="shared" si="44"/>
        <v>12763.35</v>
      </c>
      <c r="L210" s="62">
        <f t="shared" si="45"/>
        <v>1418.15</v>
      </c>
      <c r="M210" s="60">
        <v>0</v>
      </c>
      <c r="N210" s="61"/>
      <c r="O210" s="60">
        <f t="shared" si="41"/>
        <v>146</v>
      </c>
      <c r="P210" s="61"/>
      <c r="Q210" s="63">
        <f t="shared" si="42"/>
        <v>8476</v>
      </c>
      <c r="R210" s="101">
        <f t="shared" si="43"/>
        <v>4238</v>
      </c>
    </row>
    <row r="211" spans="1:18" s="21" customFormat="1" ht="60" customHeight="1" x14ac:dyDescent="0.25">
      <c r="A211" s="99">
        <v>201</v>
      </c>
      <c r="B211" s="119" t="s">
        <v>165</v>
      </c>
      <c r="C211" s="99" t="s">
        <v>422</v>
      </c>
      <c r="D211" s="99" t="s">
        <v>423</v>
      </c>
      <c r="E211" s="119" t="s">
        <v>175</v>
      </c>
      <c r="F211" s="79" t="s">
        <v>17</v>
      </c>
      <c r="G211" s="122">
        <v>45536</v>
      </c>
      <c r="H211" s="60">
        <v>283.63</v>
      </c>
      <c r="I211" s="52">
        <f t="shared" si="38"/>
        <v>8622</v>
      </c>
      <c r="J211" s="61"/>
      <c r="K211" s="62">
        <f t="shared" si="44"/>
        <v>12763.35</v>
      </c>
      <c r="L211" s="62">
        <f t="shared" si="45"/>
        <v>1418.15</v>
      </c>
      <c r="M211" s="60">
        <v>0</v>
      </c>
      <c r="N211" s="61"/>
      <c r="O211" s="60">
        <f t="shared" si="41"/>
        <v>146</v>
      </c>
      <c r="P211" s="61"/>
      <c r="Q211" s="63">
        <f t="shared" si="42"/>
        <v>8476</v>
      </c>
      <c r="R211" s="101">
        <f t="shared" si="43"/>
        <v>4238</v>
      </c>
    </row>
    <row r="212" spans="1:18" s="21" customFormat="1" ht="60" customHeight="1" x14ac:dyDescent="0.25">
      <c r="A212" s="99">
        <v>204</v>
      </c>
      <c r="B212" s="119" t="s">
        <v>111</v>
      </c>
      <c r="C212" s="99" t="s">
        <v>424</v>
      </c>
      <c r="D212" s="99" t="s">
        <v>425</v>
      </c>
      <c r="E212" s="119" t="s">
        <v>175</v>
      </c>
      <c r="F212" s="79" t="s">
        <v>17</v>
      </c>
      <c r="G212" s="122">
        <v>45536</v>
      </c>
      <c r="H212" s="60">
        <v>283.63</v>
      </c>
      <c r="I212" s="52">
        <f t="shared" si="38"/>
        <v>8622</v>
      </c>
      <c r="J212" s="61"/>
      <c r="K212" s="62">
        <f t="shared" si="44"/>
        <v>12763.35</v>
      </c>
      <c r="L212" s="62">
        <f t="shared" si="45"/>
        <v>1418.15</v>
      </c>
      <c r="M212" s="60">
        <v>0</v>
      </c>
      <c r="N212" s="61"/>
      <c r="O212" s="60">
        <f t="shared" si="41"/>
        <v>146</v>
      </c>
      <c r="P212" s="61"/>
      <c r="Q212" s="63">
        <f t="shared" si="42"/>
        <v>8476</v>
      </c>
      <c r="R212" s="101">
        <f t="shared" si="43"/>
        <v>4238</v>
      </c>
    </row>
    <row r="213" spans="1:18" s="21" customFormat="1" ht="60" customHeight="1" x14ac:dyDescent="0.25">
      <c r="A213" s="99">
        <v>206</v>
      </c>
      <c r="B213" s="119" t="s">
        <v>149</v>
      </c>
      <c r="C213" s="99" t="s">
        <v>426</v>
      </c>
      <c r="D213" s="99" t="s">
        <v>427</v>
      </c>
      <c r="E213" s="119" t="s">
        <v>146</v>
      </c>
      <c r="F213" s="79" t="s">
        <v>17</v>
      </c>
      <c r="G213" s="122">
        <v>45536</v>
      </c>
      <c r="H213" s="60">
        <v>283.63</v>
      </c>
      <c r="I213" s="52">
        <f t="shared" si="38"/>
        <v>8622</v>
      </c>
      <c r="J213" s="61"/>
      <c r="K213" s="62">
        <f t="shared" si="44"/>
        <v>12763.35</v>
      </c>
      <c r="L213" s="62">
        <f t="shared" si="45"/>
        <v>1418.15</v>
      </c>
      <c r="M213" s="60">
        <v>0</v>
      </c>
      <c r="N213" s="61"/>
      <c r="O213" s="60">
        <f t="shared" si="41"/>
        <v>146</v>
      </c>
      <c r="P213" s="61"/>
      <c r="Q213" s="63">
        <f t="shared" si="42"/>
        <v>8476</v>
      </c>
      <c r="R213" s="101">
        <f t="shared" si="43"/>
        <v>4238</v>
      </c>
    </row>
    <row r="214" spans="1:18" s="21" customFormat="1" ht="60" customHeight="1" x14ac:dyDescent="0.25">
      <c r="A214" s="99">
        <v>207</v>
      </c>
      <c r="B214" s="119" t="s">
        <v>94</v>
      </c>
      <c r="C214" s="99" t="s">
        <v>428</v>
      </c>
      <c r="D214" s="99" t="s">
        <v>429</v>
      </c>
      <c r="E214" s="119" t="s">
        <v>146</v>
      </c>
      <c r="F214" s="79" t="s">
        <v>17</v>
      </c>
      <c r="G214" s="122">
        <v>45536</v>
      </c>
      <c r="H214" s="60">
        <v>283.63</v>
      </c>
      <c r="I214" s="52">
        <f t="shared" si="38"/>
        <v>8622</v>
      </c>
      <c r="J214" s="61"/>
      <c r="K214" s="62">
        <f t="shared" si="44"/>
        <v>12763.35</v>
      </c>
      <c r="L214" s="62">
        <f t="shared" si="45"/>
        <v>1418.15</v>
      </c>
      <c r="M214" s="60">
        <v>0</v>
      </c>
      <c r="N214" s="61"/>
      <c r="O214" s="60">
        <f t="shared" si="41"/>
        <v>146</v>
      </c>
      <c r="P214" s="61"/>
      <c r="Q214" s="63">
        <f t="shared" si="42"/>
        <v>8476</v>
      </c>
      <c r="R214" s="101">
        <f t="shared" si="43"/>
        <v>4238</v>
      </c>
    </row>
    <row r="215" spans="1:18" s="21" customFormat="1" ht="60" customHeight="1" x14ac:dyDescent="0.25">
      <c r="A215" s="99">
        <v>208</v>
      </c>
      <c r="B215" s="119" t="s">
        <v>145</v>
      </c>
      <c r="C215" s="99" t="s">
        <v>430</v>
      </c>
      <c r="D215" s="99" t="s">
        <v>431</v>
      </c>
      <c r="E215" s="119" t="s">
        <v>146</v>
      </c>
      <c r="F215" s="79" t="s">
        <v>17</v>
      </c>
      <c r="G215" s="122">
        <v>45536</v>
      </c>
      <c r="H215" s="60">
        <v>283.63</v>
      </c>
      <c r="I215" s="52">
        <f t="shared" si="38"/>
        <v>8622</v>
      </c>
      <c r="J215" s="61"/>
      <c r="K215" s="62">
        <f t="shared" si="44"/>
        <v>12763.35</v>
      </c>
      <c r="L215" s="62">
        <f t="shared" si="45"/>
        <v>1418.15</v>
      </c>
      <c r="M215" s="60">
        <v>0</v>
      </c>
      <c r="N215" s="61"/>
      <c r="O215" s="60">
        <f t="shared" si="41"/>
        <v>146</v>
      </c>
      <c r="P215" s="61"/>
      <c r="Q215" s="63">
        <f t="shared" si="42"/>
        <v>8476</v>
      </c>
      <c r="R215" s="101">
        <f t="shared" si="43"/>
        <v>4238</v>
      </c>
    </row>
    <row r="216" spans="1:18" s="21" customFormat="1" ht="60" customHeight="1" x14ac:dyDescent="0.25">
      <c r="A216" s="99">
        <v>227</v>
      </c>
      <c r="B216" s="119" t="s">
        <v>432</v>
      </c>
      <c r="C216" s="99" t="s">
        <v>433</v>
      </c>
      <c r="D216" s="99" t="s">
        <v>434</v>
      </c>
      <c r="E216" s="119" t="s">
        <v>146</v>
      </c>
      <c r="F216" s="79" t="s">
        <v>17</v>
      </c>
      <c r="G216" s="122">
        <v>45551</v>
      </c>
      <c r="H216" s="60">
        <v>283.63</v>
      </c>
      <c r="I216" s="52">
        <f t="shared" si="38"/>
        <v>8622</v>
      </c>
      <c r="J216" s="61"/>
      <c r="K216" s="62">
        <f t="shared" si="44"/>
        <v>12763.35</v>
      </c>
      <c r="L216" s="62">
        <f t="shared" si="45"/>
        <v>1418.15</v>
      </c>
      <c r="M216" s="60">
        <v>0</v>
      </c>
      <c r="N216" s="61"/>
      <c r="O216" s="60">
        <f t="shared" si="41"/>
        <v>146</v>
      </c>
      <c r="P216" s="61"/>
      <c r="Q216" s="63">
        <f t="shared" si="42"/>
        <v>8476</v>
      </c>
      <c r="R216" s="101">
        <f t="shared" si="43"/>
        <v>4238</v>
      </c>
    </row>
    <row r="217" spans="1:18" s="21" customFormat="1" ht="60" customHeight="1" x14ac:dyDescent="0.25">
      <c r="A217" s="99">
        <v>232</v>
      </c>
      <c r="B217" s="119" t="s">
        <v>435</v>
      </c>
      <c r="C217" s="99" t="s">
        <v>436</v>
      </c>
      <c r="D217" s="99" t="s">
        <v>437</v>
      </c>
      <c r="E217" s="119" t="s">
        <v>256</v>
      </c>
      <c r="F217" s="79" t="s">
        <v>17</v>
      </c>
      <c r="G217" s="122">
        <v>45566</v>
      </c>
      <c r="H217" s="60">
        <v>283.63</v>
      </c>
      <c r="I217" s="52">
        <f t="shared" si="38"/>
        <v>8622</v>
      </c>
      <c r="J217" s="61"/>
      <c r="K217" s="62">
        <f t="shared" si="44"/>
        <v>12763.35</v>
      </c>
      <c r="L217" s="62">
        <f t="shared" si="45"/>
        <v>1418.15</v>
      </c>
      <c r="M217" s="60">
        <v>0</v>
      </c>
      <c r="N217" s="61"/>
      <c r="O217" s="60">
        <f t="shared" si="41"/>
        <v>146</v>
      </c>
      <c r="P217" s="61"/>
      <c r="Q217" s="63">
        <f t="shared" si="42"/>
        <v>8476</v>
      </c>
      <c r="R217" s="101">
        <f t="shared" si="43"/>
        <v>4238</v>
      </c>
    </row>
    <row r="218" spans="1:18" s="21" customFormat="1" ht="60" customHeight="1" x14ac:dyDescent="0.25">
      <c r="A218" s="99">
        <v>234</v>
      </c>
      <c r="B218" s="119" t="s">
        <v>438</v>
      </c>
      <c r="C218" s="99" t="s">
        <v>439</v>
      </c>
      <c r="D218" s="99" t="s">
        <v>440</v>
      </c>
      <c r="E218" s="119" t="s">
        <v>256</v>
      </c>
      <c r="F218" s="79" t="s">
        <v>17</v>
      </c>
      <c r="G218" s="122">
        <v>45581</v>
      </c>
      <c r="H218" s="60">
        <v>283.63</v>
      </c>
      <c r="I218" s="52">
        <f t="shared" si="38"/>
        <v>8622</v>
      </c>
      <c r="J218" s="61"/>
      <c r="K218" s="62">
        <f t="shared" si="44"/>
        <v>12763.35</v>
      </c>
      <c r="L218" s="62">
        <f t="shared" si="45"/>
        <v>1418.15</v>
      </c>
      <c r="M218" s="60">
        <v>0</v>
      </c>
      <c r="N218" s="61"/>
      <c r="O218" s="60">
        <f t="shared" si="41"/>
        <v>146</v>
      </c>
      <c r="P218" s="61"/>
      <c r="Q218" s="63">
        <f>+I218+M218-O218</f>
        <v>8476</v>
      </c>
      <c r="R218" s="101">
        <f>+Q218/2</f>
        <v>4238</v>
      </c>
    </row>
    <row r="219" spans="1:18" s="21" customFormat="1" ht="60" customHeight="1" x14ac:dyDescent="0.25">
      <c r="A219" s="99">
        <v>239</v>
      </c>
      <c r="B219" s="119" t="s">
        <v>473</v>
      </c>
      <c r="C219" s="99" t="s">
        <v>475</v>
      </c>
      <c r="D219" s="99" t="s">
        <v>474</v>
      </c>
      <c r="E219" s="119" t="s">
        <v>256</v>
      </c>
      <c r="F219" s="79" t="s">
        <v>17</v>
      </c>
      <c r="G219" s="122">
        <v>45689</v>
      </c>
      <c r="H219" s="60">
        <v>283.63</v>
      </c>
      <c r="I219" s="52">
        <f t="shared" si="38"/>
        <v>8622</v>
      </c>
      <c r="J219" s="61"/>
      <c r="K219" s="62">
        <f t="shared" si="44"/>
        <v>12763.35</v>
      </c>
      <c r="L219" s="62">
        <f t="shared" si="45"/>
        <v>1418.15</v>
      </c>
      <c r="M219" s="60">
        <v>0</v>
      </c>
      <c r="N219" s="61"/>
      <c r="O219" s="60">
        <f t="shared" si="41"/>
        <v>146</v>
      </c>
      <c r="P219" s="61"/>
      <c r="Q219" s="63">
        <f t="shared" ref="Q219:Q223" si="46">+I219+M219-O219</f>
        <v>8476</v>
      </c>
      <c r="R219" s="101">
        <f t="shared" ref="R219:R223" si="47">+Q219/2</f>
        <v>4238</v>
      </c>
    </row>
    <row r="220" spans="1:18" s="21" customFormat="1" ht="60" customHeight="1" x14ac:dyDescent="0.25">
      <c r="A220" s="99">
        <v>240</v>
      </c>
      <c r="B220" s="119" t="s">
        <v>476</v>
      </c>
      <c r="C220" s="99" t="s">
        <v>477</v>
      </c>
      <c r="D220" s="99" t="s">
        <v>478</v>
      </c>
      <c r="E220" s="119" t="s">
        <v>256</v>
      </c>
      <c r="F220" s="79" t="s">
        <v>17</v>
      </c>
      <c r="G220" s="122">
        <v>45689</v>
      </c>
      <c r="H220" s="60">
        <v>283.63</v>
      </c>
      <c r="I220" s="52">
        <f t="shared" si="38"/>
        <v>8622</v>
      </c>
      <c r="J220" s="61"/>
      <c r="K220" s="62">
        <f t="shared" si="44"/>
        <v>12763.35</v>
      </c>
      <c r="L220" s="62">
        <f t="shared" si="45"/>
        <v>1418.15</v>
      </c>
      <c r="M220" s="60">
        <v>0</v>
      </c>
      <c r="N220" s="61"/>
      <c r="O220" s="60">
        <f t="shared" si="41"/>
        <v>146</v>
      </c>
      <c r="P220" s="61"/>
      <c r="Q220" s="63">
        <f t="shared" si="46"/>
        <v>8476</v>
      </c>
      <c r="R220" s="101">
        <f t="shared" si="47"/>
        <v>4238</v>
      </c>
    </row>
    <row r="221" spans="1:18" s="21" customFormat="1" ht="60" customHeight="1" x14ac:dyDescent="0.25">
      <c r="A221" s="99">
        <v>242</v>
      </c>
      <c r="B221" s="119" t="s">
        <v>479</v>
      </c>
      <c r="C221" s="99" t="s">
        <v>480</v>
      </c>
      <c r="D221" s="99" t="s">
        <v>481</v>
      </c>
      <c r="E221" s="119" t="s">
        <v>256</v>
      </c>
      <c r="F221" s="79" t="s">
        <v>17</v>
      </c>
      <c r="G221" s="122">
        <v>45689</v>
      </c>
      <c r="H221" s="60">
        <v>283.63</v>
      </c>
      <c r="I221" s="52">
        <f t="shared" si="38"/>
        <v>8622</v>
      </c>
      <c r="J221" s="61"/>
      <c r="K221" s="62">
        <f t="shared" si="44"/>
        <v>12763.35</v>
      </c>
      <c r="L221" s="62">
        <f t="shared" si="45"/>
        <v>1418.15</v>
      </c>
      <c r="M221" s="60">
        <v>0</v>
      </c>
      <c r="N221" s="61"/>
      <c r="O221" s="60">
        <f t="shared" si="41"/>
        <v>146</v>
      </c>
      <c r="P221" s="61"/>
      <c r="Q221" s="63">
        <f t="shared" si="46"/>
        <v>8476</v>
      </c>
      <c r="R221" s="101">
        <f t="shared" si="47"/>
        <v>4238</v>
      </c>
    </row>
    <row r="222" spans="1:18" s="21" customFormat="1" ht="60" customHeight="1" x14ac:dyDescent="0.25">
      <c r="A222" s="99">
        <v>245</v>
      </c>
      <c r="B222" s="119" t="s">
        <v>482</v>
      </c>
      <c r="C222" s="99" t="s">
        <v>483</v>
      </c>
      <c r="D222" s="99" t="s">
        <v>484</v>
      </c>
      <c r="E222" s="119" t="s">
        <v>256</v>
      </c>
      <c r="F222" s="79" t="s">
        <v>17</v>
      </c>
      <c r="G222" s="122">
        <v>45717</v>
      </c>
      <c r="H222" s="60">
        <v>283.63</v>
      </c>
      <c r="I222" s="52">
        <f t="shared" si="38"/>
        <v>8622</v>
      </c>
      <c r="J222" s="61"/>
      <c r="K222" s="62">
        <f t="shared" si="44"/>
        <v>12763.35</v>
      </c>
      <c r="L222" s="62">
        <f t="shared" si="45"/>
        <v>1418.15</v>
      </c>
      <c r="M222" s="60">
        <v>0</v>
      </c>
      <c r="N222" s="61"/>
      <c r="O222" s="60">
        <f t="shared" si="41"/>
        <v>146</v>
      </c>
      <c r="P222" s="61"/>
      <c r="Q222" s="63">
        <f t="shared" ref="Q222" si="48">+I222+M222-O222</f>
        <v>8476</v>
      </c>
      <c r="R222" s="101">
        <f t="shared" si="47"/>
        <v>4238</v>
      </c>
    </row>
    <row r="223" spans="1:18" s="21" customFormat="1" ht="60" customHeight="1" x14ac:dyDescent="0.25">
      <c r="A223" s="99">
        <v>248</v>
      </c>
      <c r="B223" s="119" t="s">
        <v>485</v>
      </c>
      <c r="C223" s="99" t="s">
        <v>486</v>
      </c>
      <c r="D223" s="99" t="s">
        <v>487</v>
      </c>
      <c r="E223" s="119" t="s">
        <v>256</v>
      </c>
      <c r="F223" s="79" t="s">
        <v>17</v>
      </c>
      <c r="G223" s="122">
        <v>45778</v>
      </c>
      <c r="H223" s="60">
        <v>283.63</v>
      </c>
      <c r="I223" s="52">
        <f t="shared" si="38"/>
        <v>8622</v>
      </c>
      <c r="J223" s="61"/>
      <c r="K223" s="62">
        <f t="shared" si="44"/>
        <v>12763.35</v>
      </c>
      <c r="L223" s="62">
        <f t="shared" si="45"/>
        <v>1418.15</v>
      </c>
      <c r="M223" s="60">
        <v>0</v>
      </c>
      <c r="N223" s="61"/>
      <c r="O223" s="60">
        <f t="shared" si="41"/>
        <v>146</v>
      </c>
      <c r="P223" s="61"/>
      <c r="Q223" s="63">
        <f t="shared" si="46"/>
        <v>8476</v>
      </c>
      <c r="R223" s="101">
        <f t="shared" si="47"/>
        <v>4238</v>
      </c>
    </row>
    <row r="224" spans="1:18" s="21" customFormat="1" ht="38.1" customHeight="1" thickBot="1" x14ac:dyDescent="0.3">
      <c r="A224" s="117"/>
      <c r="B224" s="55" t="s">
        <v>19</v>
      </c>
      <c r="C224" s="87"/>
      <c r="D224" s="87"/>
      <c r="E224" s="87"/>
      <c r="F224" s="149"/>
      <c r="G224" s="163"/>
      <c r="H224" s="88"/>
      <c r="I224" s="118"/>
      <c r="J224" s="81"/>
      <c r="K224" s="118"/>
      <c r="L224" s="118"/>
      <c r="M224" s="88"/>
      <c r="N224" s="81"/>
      <c r="O224" s="88"/>
      <c r="P224" s="164"/>
      <c r="Q224" s="89"/>
      <c r="R224" s="128"/>
    </row>
    <row r="225" spans="1:18" s="19" customFormat="1" ht="30" customHeight="1" thickBot="1" x14ac:dyDescent="0.3">
      <c r="A225" s="21"/>
      <c r="B225" s="55" t="s">
        <v>20</v>
      </c>
      <c r="C225" s="55"/>
      <c r="D225" s="55"/>
      <c r="E225" s="83"/>
      <c r="F225" s="218" t="s">
        <v>18</v>
      </c>
      <c r="G225" s="219"/>
      <c r="H225" s="255"/>
      <c r="I225" s="153">
        <f t="shared" ref="I225:R225" si="49">SUM(I191:I223)</f>
        <v>284526</v>
      </c>
      <c r="J225" s="151">
        <f t="shared" si="49"/>
        <v>0</v>
      </c>
      <c r="K225" s="153">
        <f t="shared" si="49"/>
        <v>506279.54999999964</v>
      </c>
      <c r="L225" s="151">
        <f t="shared" si="49"/>
        <v>71985.293999999994</v>
      </c>
      <c r="M225" s="153">
        <f t="shared" si="49"/>
        <v>0</v>
      </c>
      <c r="N225" s="151">
        <f t="shared" si="49"/>
        <v>0</v>
      </c>
      <c r="O225" s="153">
        <f t="shared" si="49"/>
        <v>4818</v>
      </c>
      <c r="P225" s="151">
        <f t="shared" si="49"/>
        <v>0</v>
      </c>
      <c r="Q225" s="153">
        <f t="shared" si="49"/>
        <v>279708</v>
      </c>
      <c r="R225" s="152">
        <f t="shared" si="49"/>
        <v>139854</v>
      </c>
    </row>
    <row r="226" spans="1:18" ht="30" customHeight="1" thickBot="1" x14ac:dyDescent="0.3">
      <c r="A226" s="9"/>
      <c r="B226" s="55" t="s">
        <v>21</v>
      </c>
      <c r="C226" s="55"/>
      <c r="D226" s="55"/>
      <c r="E226" s="55"/>
      <c r="F226" s="273" t="s">
        <v>445</v>
      </c>
      <c r="G226" s="274"/>
      <c r="H226" s="274"/>
      <c r="I226" s="172">
        <f>+I225*12</f>
        <v>3414312</v>
      </c>
      <c r="J226" s="170">
        <f t="shared" ref="J226:R226" si="50">+J225*12</f>
        <v>0</v>
      </c>
      <c r="K226" s="172">
        <f>+K225</f>
        <v>506279.54999999964</v>
      </c>
      <c r="L226" s="170">
        <f>+L225</f>
        <v>71985.293999999994</v>
      </c>
      <c r="M226" s="172">
        <f t="shared" si="50"/>
        <v>0</v>
      </c>
      <c r="N226" s="170">
        <f t="shared" si="50"/>
        <v>0</v>
      </c>
      <c r="O226" s="172">
        <f t="shared" si="50"/>
        <v>57816</v>
      </c>
      <c r="P226" s="170">
        <f t="shared" si="50"/>
        <v>0</v>
      </c>
      <c r="Q226" s="172">
        <f t="shared" si="50"/>
        <v>3356496</v>
      </c>
      <c r="R226" s="171">
        <f t="shared" si="50"/>
        <v>1678248</v>
      </c>
    </row>
    <row r="227" spans="1:18" ht="30" customHeight="1" x14ac:dyDescent="0.25">
      <c r="A227" s="9"/>
      <c r="B227" s="55" t="s">
        <v>22</v>
      </c>
      <c r="C227" s="55"/>
      <c r="D227" s="55"/>
      <c r="E227" s="55"/>
      <c r="F227" s="58"/>
      <c r="G227" s="10"/>
      <c r="H227" s="58"/>
      <c r="I227" s="59"/>
      <c r="J227" s="59"/>
      <c r="K227" s="59"/>
      <c r="L227" s="59"/>
      <c r="M227" s="59"/>
      <c r="N227" s="59"/>
      <c r="O227" s="59"/>
      <c r="P227" s="59"/>
      <c r="Q227" s="59"/>
      <c r="R227" s="130"/>
    </row>
    <row r="228" spans="1:18" ht="30" customHeight="1" x14ac:dyDescent="0.25">
      <c r="A228" s="9"/>
      <c r="B228" s="55" t="s">
        <v>23</v>
      </c>
      <c r="C228" s="55"/>
      <c r="D228" s="55"/>
      <c r="E228" s="55"/>
      <c r="F228" s="58"/>
      <c r="G228" s="10"/>
      <c r="H228" s="58"/>
      <c r="I228" s="59"/>
      <c r="J228" s="59"/>
      <c r="K228" s="59"/>
      <c r="L228" s="59"/>
      <c r="M228" s="59"/>
      <c r="N228" s="59"/>
      <c r="O228" s="59"/>
      <c r="P228" s="59"/>
      <c r="Q228" s="59"/>
      <c r="R228" s="130"/>
    </row>
    <row r="229" spans="1:18" ht="30" customHeight="1" x14ac:dyDescent="0.25">
      <c r="A229" s="9"/>
      <c r="B229" s="55" t="s">
        <v>549</v>
      </c>
      <c r="C229" s="55"/>
      <c r="D229" s="55"/>
      <c r="E229" s="55"/>
      <c r="F229" s="58"/>
      <c r="G229" s="10"/>
      <c r="H229" s="58"/>
      <c r="I229" s="59"/>
      <c r="J229" s="59"/>
      <c r="K229" s="59"/>
      <c r="L229" s="59"/>
      <c r="M229" s="59"/>
      <c r="N229" s="59"/>
      <c r="O229" s="59"/>
      <c r="P229" s="59"/>
      <c r="Q229" s="59"/>
      <c r="R229" s="130"/>
    </row>
    <row r="230" spans="1:18" ht="30" customHeight="1" x14ac:dyDescent="0.25">
      <c r="A230" s="9"/>
      <c r="B230" s="55"/>
      <c r="C230" s="55"/>
      <c r="D230" s="55"/>
      <c r="E230" s="55"/>
      <c r="F230" s="58"/>
      <c r="G230" s="10"/>
      <c r="H230" s="58"/>
      <c r="I230" s="59"/>
      <c r="J230" s="59"/>
      <c r="K230" s="59"/>
      <c r="L230" s="59"/>
      <c r="M230" s="59"/>
      <c r="N230" s="59"/>
      <c r="O230" s="59"/>
      <c r="P230" s="59"/>
      <c r="Q230" s="59"/>
      <c r="R230" s="130"/>
    </row>
    <row r="231" spans="1:18" ht="30" customHeight="1" x14ac:dyDescent="0.25">
      <c r="A231" s="220" t="s">
        <v>32</v>
      </c>
      <c r="B231" s="220"/>
      <c r="C231" s="220"/>
      <c r="D231" s="220"/>
      <c r="E231" s="220"/>
      <c r="F231" s="220"/>
      <c r="G231" s="220"/>
      <c r="H231" s="220"/>
      <c r="I231" s="220"/>
      <c r="J231" s="220"/>
      <c r="K231" s="220"/>
      <c r="L231" s="220"/>
      <c r="M231" s="220"/>
      <c r="N231" s="220"/>
      <c r="O231" s="220"/>
      <c r="P231" s="220"/>
      <c r="Q231" s="220"/>
      <c r="R231" s="130"/>
    </row>
    <row r="232" spans="1:18" ht="30" customHeight="1" x14ac:dyDescent="0.25">
      <c r="A232" s="221" t="s">
        <v>0</v>
      </c>
      <c r="B232" s="221"/>
      <c r="C232" s="221"/>
      <c r="D232" s="221"/>
      <c r="E232" s="221"/>
      <c r="F232" s="221"/>
      <c r="G232" s="221"/>
      <c r="H232" s="221"/>
      <c r="I232" s="221"/>
      <c r="J232" s="221"/>
      <c r="K232" s="221"/>
      <c r="L232" s="221"/>
      <c r="M232" s="221"/>
      <c r="N232" s="221"/>
      <c r="O232" s="221"/>
      <c r="P232" s="221"/>
      <c r="Q232" s="221"/>
      <c r="R232" s="130"/>
    </row>
    <row r="233" spans="1:18" ht="30" customHeight="1" thickBot="1" x14ac:dyDescent="0.3">
      <c r="A233" s="221" t="s">
        <v>453</v>
      </c>
      <c r="B233" s="221"/>
      <c r="C233" s="221"/>
      <c r="D233" s="221"/>
      <c r="E233" s="221"/>
      <c r="F233" s="221"/>
      <c r="G233" s="221"/>
      <c r="H233" s="221"/>
      <c r="I233" s="221"/>
      <c r="J233" s="221"/>
      <c r="K233" s="221"/>
      <c r="L233" s="221"/>
      <c r="M233" s="221"/>
      <c r="N233" s="221"/>
      <c r="O233" s="221"/>
      <c r="P233" s="221"/>
      <c r="Q233" s="221"/>
      <c r="R233" s="130"/>
    </row>
    <row r="234" spans="1:18" ht="24.95" customHeight="1" x14ac:dyDescent="0.25">
      <c r="A234" s="109"/>
      <c r="B234" s="210" t="s">
        <v>449</v>
      </c>
      <c r="C234" s="210"/>
      <c r="D234" s="210"/>
      <c r="E234" s="210"/>
      <c r="F234" s="210"/>
      <c r="G234" s="210"/>
      <c r="H234" s="210"/>
      <c r="I234" s="2"/>
      <c r="J234" s="2"/>
      <c r="K234" s="2"/>
      <c r="L234" s="2"/>
      <c r="M234" s="3"/>
      <c r="N234" s="3"/>
      <c r="O234" s="3"/>
      <c r="P234" s="3"/>
      <c r="Q234" s="84"/>
      <c r="R234" s="232"/>
    </row>
    <row r="235" spans="1:18" ht="24.95" customHeight="1" thickBot="1" x14ac:dyDescent="0.3">
      <c r="A235" s="110"/>
      <c r="B235" s="213"/>
      <c r="C235" s="213"/>
      <c r="D235" s="213"/>
      <c r="E235" s="213"/>
      <c r="F235" s="236"/>
      <c r="G235" s="236"/>
      <c r="H235" s="236"/>
      <c r="I235" s="85"/>
      <c r="J235" s="85"/>
      <c r="K235" s="85"/>
      <c r="L235" s="85"/>
      <c r="M235" s="85"/>
      <c r="N235" s="85"/>
      <c r="O235" s="85"/>
      <c r="P235" s="85"/>
      <c r="Q235" s="86"/>
      <c r="R235" s="233"/>
    </row>
    <row r="236" spans="1:18" s="28" customFormat="1" ht="27.95" customHeight="1" x14ac:dyDescent="0.25">
      <c r="A236" s="237"/>
      <c r="B236" s="239" t="s">
        <v>2</v>
      </c>
      <c r="C236" s="267" t="s">
        <v>178</v>
      </c>
      <c r="D236" s="267" t="s">
        <v>179</v>
      </c>
      <c r="E236" s="239" t="s">
        <v>3</v>
      </c>
      <c r="F236" s="227" t="s">
        <v>4</v>
      </c>
      <c r="G236" s="243" t="s">
        <v>5</v>
      </c>
      <c r="H236" s="227" t="s">
        <v>6</v>
      </c>
      <c r="I236" s="227" t="s">
        <v>7</v>
      </c>
      <c r="J236" s="227" t="s">
        <v>8</v>
      </c>
      <c r="K236" s="227" t="s">
        <v>9</v>
      </c>
      <c r="L236" s="227" t="s">
        <v>10</v>
      </c>
      <c r="M236" s="227" t="s">
        <v>11</v>
      </c>
      <c r="N236" s="227" t="s">
        <v>12</v>
      </c>
      <c r="O236" s="227" t="s">
        <v>13</v>
      </c>
      <c r="P236" s="227" t="s">
        <v>14</v>
      </c>
      <c r="Q236" s="234" t="s">
        <v>15</v>
      </c>
      <c r="R236" s="230" t="s">
        <v>140</v>
      </c>
    </row>
    <row r="237" spans="1:18" s="28" customFormat="1" ht="27.95" customHeight="1" thickBot="1" x14ac:dyDescent="0.3">
      <c r="A237" s="269"/>
      <c r="B237" s="240"/>
      <c r="C237" s="270"/>
      <c r="D237" s="270"/>
      <c r="E237" s="241"/>
      <c r="F237" s="228"/>
      <c r="G237" s="244"/>
      <c r="H237" s="228"/>
      <c r="I237" s="228"/>
      <c r="J237" s="228"/>
      <c r="K237" s="228"/>
      <c r="L237" s="228"/>
      <c r="M237" s="228"/>
      <c r="N237" s="229"/>
      <c r="O237" s="229"/>
      <c r="P237" s="228"/>
      <c r="Q237" s="235"/>
      <c r="R237" s="208"/>
    </row>
    <row r="238" spans="1:18" s="7" customFormat="1" ht="60" customHeight="1" x14ac:dyDescent="0.25">
      <c r="A238" s="99">
        <v>236</v>
      </c>
      <c r="B238" s="119" t="s">
        <v>488</v>
      </c>
      <c r="C238" s="99" t="s">
        <v>489</v>
      </c>
      <c r="D238" s="99" t="s">
        <v>490</v>
      </c>
      <c r="E238" s="70" t="s">
        <v>53</v>
      </c>
      <c r="F238" s="75" t="s">
        <v>16</v>
      </c>
      <c r="G238" s="102">
        <v>45658</v>
      </c>
      <c r="H238" s="60">
        <v>396.04</v>
      </c>
      <c r="I238" s="52">
        <f>6020*2</f>
        <v>12040</v>
      </c>
      <c r="J238" s="61"/>
      <c r="K238" s="62">
        <f>+H238*45</f>
        <v>17821.8</v>
      </c>
      <c r="L238" s="62">
        <f>+H238*22*0.25</f>
        <v>2178.2200000000003</v>
      </c>
      <c r="M238" s="60">
        <v>0</v>
      </c>
      <c r="N238" s="61"/>
      <c r="O238" s="60">
        <f>520*2</f>
        <v>1040</v>
      </c>
      <c r="P238" s="61"/>
      <c r="Q238" s="63">
        <f t="shared" ref="Q238:Q239" si="51">+I238+M238-O238</f>
        <v>11000</v>
      </c>
      <c r="R238" s="101">
        <f t="shared" ref="R238:R239" si="52">+Q238/2</f>
        <v>5500</v>
      </c>
    </row>
    <row r="239" spans="1:18" s="28" customFormat="1" ht="60" customHeight="1" x14ac:dyDescent="0.25">
      <c r="A239" s="20"/>
      <c r="B239" s="70" t="s">
        <v>177</v>
      </c>
      <c r="C239" s="70"/>
      <c r="D239" s="70"/>
      <c r="E239" s="65" t="s">
        <v>74</v>
      </c>
      <c r="F239" s="76" t="s">
        <v>17</v>
      </c>
      <c r="G239" s="34"/>
      <c r="H239" s="60">
        <v>283.63</v>
      </c>
      <c r="I239" s="52">
        <f t="shared" ref="I239" si="53">4311*2</f>
        <v>8622</v>
      </c>
      <c r="J239" s="61"/>
      <c r="K239" s="62">
        <f>+H239*45</f>
        <v>12763.35</v>
      </c>
      <c r="L239" s="62">
        <f>+H239*20*0.25</f>
        <v>1418.15</v>
      </c>
      <c r="M239" s="60">
        <v>0</v>
      </c>
      <c r="N239" s="61"/>
      <c r="O239" s="60">
        <f t="shared" ref="O239" si="54">73*2</f>
        <v>146</v>
      </c>
      <c r="P239" s="61"/>
      <c r="Q239" s="63">
        <f t="shared" si="51"/>
        <v>8476</v>
      </c>
      <c r="R239" s="101">
        <f t="shared" si="52"/>
        <v>4238</v>
      </c>
    </row>
    <row r="240" spans="1:18" ht="34.5" customHeight="1" thickBot="1" x14ac:dyDescent="0.3">
      <c r="A240" s="117"/>
      <c r="B240" s="55" t="s">
        <v>19</v>
      </c>
      <c r="C240" s="55"/>
      <c r="D240" s="55"/>
      <c r="E240" s="87"/>
      <c r="F240" s="19"/>
      <c r="G240" s="108"/>
      <c r="H240" s="88"/>
      <c r="I240" s="81"/>
      <c r="J240" s="81"/>
      <c r="K240" s="81"/>
      <c r="L240" s="81"/>
      <c r="M240" s="81"/>
      <c r="N240" s="81"/>
      <c r="O240" s="81"/>
      <c r="P240" s="81"/>
      <c r="Q240" s="89"/>
      <c r="R240" s="130"/>
    </row>
    <row r="241" spans="1:18" ht="34.5" customHeight="1" thickBot="1" x14ac:dyDescent="0.3">
      <c r="A241" s="7"/>
      <c r="B241" s="55" t="s">
        <v>20</v>
      </c>
      <c r="C241" s="55"/>
      <c r="D241" s="55"/>
      <c r="E241" s="56"/>
      <c r="F241" s="218" t="s">
        <v>18</v>
      </c>
      <c r="G241" s="219"/>
      <c r="H241" s="219"/>
      <c r="I241" s="17">
        <f>SUM(I238:I239)</f>
        <v>20662</v>
      </c>
      <c r="J241" s="17">
        <f t="shared" ref="J241:Q241" si="55">SUM(J238:J239)</f>
        <v>0</v>
      </c>
      <c r="K241" s="17">
        <f t="shared" si="55"/>
        <v>30585.15</v>
      </c>
      <c r="L241" s="17">
        <f t="shared" si="55"/>
        <v>3596.3700000000003</v>
      </c>
      <c r="M241" s="17">
        <f t="shared" si="55"/>
        <v>0</v>
      </c>
      <c r="N241" s="17">
        <f t="shared" si="55"/>
        <v>0</v>
      </c>
      <c r="O241" s="17">
        <f t="shared" si="55"/>
        <v>1186</v>
      </c>
      <c r="P241" s="17">
        <f t="shared" si="55"/>
        <v>0</v>
      </c>
      <c r="Q241" s="33">
        <f t="shared" si="55"/>
        <v>19476</v>
      </c>
      <c r="R241" s="129">
        <f>+R239+R238</f>
        <v>9738</v>
      </c>
    </row>
    <row r="242" spans="1:18" ht="34.5" customHeight="1" thickBot="1" x14ac:dyDescent="0.3">
      <c r="A242" s="7"/>
      <c r="B242" s="55" t="s">
        <v>21</v>
      </c>
      <c r="C242" s="55"/>
      <c r="D242" s="55"/>
      <c r="E242" s="56"/>
      <c r="F242" s="273" t="s">
        <v>445</v>
      </c>
      <c r="G242" s="274"/>
      <c r="H242" s="274"/>
      <c r="I242" s="153">
        <f>+I241*12</f>
        <v>247944</v>
      </c>
      <c r="J242" s="151">
        <f t="shared" ref="J242:R242" si="56">+J241*12</f>
        <v>0</v>
      </c>
      <c r="K242" s="153">
        <f>+K241</f>
        <v>30585.15</v>
      </c>
      <c r="L242" s="151">
        <f>+L241</f>
        <v>3596.3700000000003</v>
      </c>
      <c r="M242" s="153">
        <f t="shared" si="56"/>
        <v>0</v>
      </c>
      <c r="N242" s="151">
        <f t="shared" si="56"/>
        <v>0</v>
      </c>
      <c r="O242" s="153">
        <f t="shared" si="56"/>
        <v>14232</v>
      </c>
      <c r="P242" s="151">
        <f t="shared" si="56"/>
        <v>0</v>
      </c>
      <c r="Q242" s="153">
        <f t="shared" si="56"/>
        <v>233712</v>
      </c>
      <c r="R242" s="152">
        <f t="shared" si="56"/>
        <v>116856</v>
      </c>
    </row>
    <row r="243" spans="1:18" ht="34.5" customHeight="1" x14ac:dyDescent="0.25">
      <c r="A243" s="7"/>
      <c r="B243" s="55" t="s">
        <v>22</v>
      </c>
      <c r="C243" s="55"/>
      <c r="D243" s="55"/>
      <c r="E243" s="56"/>
      <c r="F243" s="66"/>
      <c r="G243" s="105"/>
      <c r="H243" s="66"/>
      <c r="I243" s="13"/>
      <c r="J243" s="13"/>
      <c r="K243" s="13"/>
      <c r="L243" s="13"/>
      <c r="M243" s="13"/>
      <c r="N243" s="13"/>
      <c r="O243" s="13"/>
      <c r="P243" s="13"/>
      <c r="Q243" s="13"/>
      <c r="R243" s="130"/>
    </row>
    <row r="244" spans="1:18" ht="34.5" customHeight="1" x14ac:dyDescent="0.25">
      <c r="A244" s="7"/>
      <c r="B244" s="55" t="s">
        <v>23</v>
      </c>
      <c r="C244" s="55"/>
      <c r="D244" s="55"/>
      <c r="E244" s="56"/>
      <c r="F244" s="66"/>
      <c r="G244" s="105"/>
      <c r="H244" s="66"/>
      <c r="I244" s="13"/>
      <c r="J244" s="13"/>
      <c r="K244" s="13"/>
      <c r="L244" s="13"/>
      <c r="M244" s="13"/>
      <c r="N244" s="13"/>
      <c r="O244" s="13"/>
      <c r="P244" s="13"/>
      <c r="Q244" s="13"/>
      <c r="R244" s="130"/>
    </row>
    <row r="245" spans="1:18" ht="34.5" customHeight="1" x14ac:dyDescent="0.25">
      <c r="A245" s="7"/>
      <c r="B245" s="55" t="s">
        <v>549</v>
      </c>
      <c r="C245" s="55"/>
      <c r="D245" s="55"/>
      <c r="E245" s="56"/>
      <c r="F245" s="66"/>
      <c r="G245" s="105"/>
      <c r="H245" s="66"/>
      <c r="I245" s="13"/>
      <c r="J245" s="13"/>
      <c r="K245" s="13"/>
      <c r="L245" s="13"/>
      <c r="M245" s="13"/>
      <c r="N245" s="13"/>
      <c r="O245" s="13"/>
      <c r="P245" s="13"/>
      <c r="Q245" s="13"/>
      <c r="R245" s="130"/>
    </row>
    <row r="246" spans="1:18" ht="223.15" customHeight="1" x14ac:dyDescent="0.25">
      <c r="A246" s="7"/>
      <c r="B246" s="55"/>
      <c r="C246" s="55"/>
      <c r="D246" s="55"/>
      <c r="E246" s="56"/>
      <c r="F246" s="66"/>
      <c r="G246" s="105"/>
      <c r="H246" s="66"/>
      <c r="I246" s="13"/>
      <c r="J246" s="13"/>
      <c r="K246" s="13"/>
      <c r="L246" s="13"/>
      <c r="M246" s="13"/>
      <c r="N246" s="13"/>
      <c r="O246" s="13"/>
      <c r="P246" s="13"/>
      <c r="Q246" s="13"/>
      <c r="R246" s="130"/>
    </row>
    <row r="247" spans="1:18" s="18" customFormat="1" ht="30" customHeight="1" x14ac:dyDescent="0.25">
      <c r="A247" s="220" t="s">
        <v>32</v>
      </c>
      <c r="B247" s="220"/>
      <c r="C247" s="220"/>
      <c r="D247" s="220"/>
      <c r="E247" s="220"/>
      <c r="F247" s="220"/>
      <c r="G247" s="220"/>
      <c r="H247" s="220"/>
      <c r="I247" s="220"/>
      <c r="J247" s="220"/>
      <c r="K247" s="220"/>
      <c r="L247" s="220"/>
      <c r="M247" s="220"/>
      <c r="N247" s="220"/>
      <c r="O247" s="220"/>
      <c r="P247" s="220"/>
      <c r="Q247" s="220"/>
      <c r="R247" s="130"/>
    </row>
    <row r="248" spans="1:18" s="18" customFormat="1" ht="30" customHeight="1" x14ac:dyDescent="0.25">
      <c r="A248" s="221" t="s">
        <v>0</v>
      </c>
      <c r="B248" s="221"/>
      <c r="C248" s="221"/>
      <c r="D248" s="221"/>
      <c r="E248" s="221"/>
      <c r="F248" s="221"/>
      <c r="G248" s="221"/>
      <c r="H248" s="221"/>
      <c r="I248" s="221"/>
      <c r="J248" s="221"/>
      <c r="K248" s="221"/>
      <c r="L248" s="221"/>
      <c r="M248" s="221"/>
      <c r="N248" s="221"/>
      <c r="O248" s="221"/>
      <c r="P248" s="221"/>
      <c r="Q248" s="221"/>
      <c r="R248" s="130"/>
    </row>
    <row r="249" spans="1:18" ht="30" customHeight="1" thickBot="1" x14ac:dyDescent="0.3">
      <c r="A249" s="221" t="s">
        <v>453</v>
      </c>
      <c r="B249" s="221"/>
      <c r="C249" s="221"/>
      <c r="D249" s="221"/>
      <c r="E249" s="221"/>
      <c r="F249" s="221"/>
      <c r="G249" s="221"/>
      <c r="H249" s="221"/>
      <c r="I249" s="221"/>
      <c r="J249" s="221"/>
      <c r="K249" s="221"/>
      <c r="L249" s="221"/>
      <c r="M249" s="221"/>
      <c r="N249" s="221"/>
      <c r="O249" s="221"/>
      <c r="P249" s="221"/>
      <c r="Q249" s="221"/>
      <c r="R249" s="130"/>
    </row>
    <row r="250" spans="1:18" s="22" customFormat="1" ht="24.75" customHeight="1" x14ac:dyDescent="0.25">
      <c r="A250" s="209" t="s">
        <v>79</v>
      </c>
      <c r="B250" s="210"/>
      <c r="C250" s="210"/>
      <c r="D250" s="210"/>
      <c r="E250" s="210"/>
      <c r="F250" s="210"/>
      <c r="G250" s="210"/>
      <c r="H250" s="210"/>
      <c r="I250" s="210"/>
      <c r="J250" s="210"/>
      <c r="K250" s="210"/>
      <c r="L250" s="210"/>
      <c r="M250" s="210"/>
      <c r="N250" s="210"/>
      <c r="O250" s="210"/>
      <c r="P250" s="210"/>
      <c r="Q250" s="210"/>
      <c r="R250" s="210"/>
    </row>
    <row r="251" spans="1:18" s="22" customFormat="1" ht="24.95" customHeight="1" thickBot="1" x14ac:dyDescent="0.3">
      <c r="A251" s="212"/>
      <c r="B251" s="213"/>
      <c r="C251" s="213"/>
      <c r="D251" s="213"/>
      <c r="E251" s="213"/>
      <c r="F251" s="213"/>
      <c r="G251" s="213"/>
      <c r="H251" s="213"/>
      <c r="I251" s="213"/>
      <c r="J251" s="213"/>
      <c r="K251" s="213"/>
      <c r="L251" s="213"/>
      <c r="M251" s="213"/>
      <c r="N251" s="213"/>
      <c r="O251" s="213"/>
      <c r="P251" s="213"/>
      <c r="Q251" s="213"/>
      <c r="R251" s="213"/>
    </row>
    <row r="252" spans="1:18" s="25" customFormat="1" ht="27.95" customHeight="1" x14ac:dyDescent="0.25">
      <c r="A252" s="237"/>
      <c r="B252" s="239" t="s">
        <v>2</v>
      </c>
      <c r="C252" s="267" t="s">
        <v>178</v>
      </c>
      <c r="D252" s="267" t="s">
        <v>179</v>
      </c>
      <c r="E252" s="239" t="s">
        <v>3</v>
      </c>
      <c r="F252" s="227" t="s">
        <v>4</v>
      </c>
      <c r="G252" s="243" t="s">
        <v>5</v>
      </c>
      <c r="H252" s="227" t="s">
        <v>6</v>
      </c>
      <c r="I252" s="227" t="s">
        <v>7</v>
      </c>
      <c r="J252" s="227" t="s">
        <v>8</v>
      </c>
      <c r="K252" s="227" t="s">
        <v>9</v>
      </c>
      <c r="L252" s="227" t="s">
        <v>10</v>
      </c>
      <c r="M252" s="227" t="s">
        <v>11</v>
      </c>
      <c r="N252" s="227" t="s">
        <v>12</v>
      </c>
      <c r="O252" s="227" t="s">
        <v>13</v>
      </c>
      <c r="P252" s="227" t="s">
        <v>14</v>
      </c>
      <c r="Q252" s="234" t="s">
        <v>15</v>
      </c>
      <c r="R252" s="230" t="s">
        <v>140</v>
      </c>
    </row>
    <row r="253" spans="1:18" s="25" customFormat="1" ht="27.95" customHeight="1" thickBot="1" x14ac:dyDescent="0.3">
      <c r="A253" s="238"/>
      <c r="B253" s="242"/>
      <c r="C253" s="270"/>
      <c r="D253" s="270"/>
      <c r="E253" s="241"/>
      <c r="F253" s="228"/>
      <c r="G253" s="244"/>
      <c r="H253" s="228"/>
      <c r="I253" s="228"/>
      <c r="J253" s="228"/>
      <c r="K253" s="228"/>
      <c r="L253" s="228"/>
      <c r="M253" s="228"/>
      <c r="N253" s="229"/>
      <c r="O253" s="229"/>
      <c r="P253" s="228"/>
      <c r="Q253" s="235"/>
      <c r="R253" s="231"/>
    </row>
    <row r="254" spans="1:18" s="9" customFormat="1" ht="60" customHeight="1" x14ac:dyDescent="0.25">
      <c r="A254" s="144">
        <v>210</v>
      </c>
      <c r="B254" s="4" t="s">
        <v>166</v>
      </c>
      <c r="C254" s="99" t="s">
        <v>264</v>
      </c>
      <c r="D254" s="99" t="s">
        <v>265</v>
      </c>
      <c r="E254" s="70" t="s">
        <v>55</v>
      </c>
      <c r="F254" s="69" t="s">
        <v>16</v>
      </c>
      <c r="G254" s="34">
        <v>45536</v>
      </c>
      <c r="H254" s="60">
        <v>283.63</v>
      </c>
      <c r="I254" s="52">
        <f t="shared" ref="I254:I256" si="57">4311*2</f>
        <v>8622</v>
      </c>
      <c r="J254" s="61"/>
      <c r="K254" s="62">
        <f>+H254*45</f>
        <v>12763.35</v>
      </c>
      <c r="L254" s="62">
        <f>+H254*20*0.25</f>
        <v>1418.15</v>
      </c>
      <c r="M254" s="60">
        <v>0</v>
      </c>
      <c r="N254" s="61"/>
      <c r="O254" s="60">
        <f t="shared" ref="O254:O256" si="58">73*2</f>
        <v>146</v>
      </c>
      <c r="P254" s="61"/>
      <c r="Q254" s="63">
        <f t="shared" ref="Q254:Q256" si="59">+I254+M254-O254</f>
        <v>8476</v>
      </c>
      <c r="R254" s="101">
        <f t="shared" ref="R254:R256" si="60">+Q254/2</f>
        <v>4238</v>
      </c>
    </row>
    <row r="255" spans="1:18" s="9" customFormat="1" ht="60" customHeight="1" x14ac:dyDescent="0.25">
      <c r="A255" s="144">
        <v>211</v>
      </c>
      <c r="B255" s="124" t="s">
        <v>123</v>
      </c>
      <c r="C255" s="99" t="s">
        <v>266</v>
      </c>
      <c r="D255" s="99" t="s">
        <v>267</v>
      </c>
      <c r="E255" s="65" t="s">
        <v>151</v>
      </c>
      <c r="F255" s="69" t="s">
        <v>17</v>
      </c>
      <c r="G255" s="34">
        <v>45536</v>
      </c>
      <c r="H255" s="60">
        <v>283.63</v>
      </c>
      <c r="I255" s="52">
        <f t="shared" si="57"/>
        <v>8622</v>
      </c>
      <c r="J255" s="61"/>
      <c r="K255" s="62">
        <f t="shared" ref="K255:K256" si="61">+H255*45</f>
        <v>12763.35</v>
      </c>
      <c r="L255" s="62">
        <f t="shared" ref="L255:L256" si="62">+H255*20*0.25</f>
        <v>1418.15</v>
      </c>
      <c r="M255" s="60">
        <v>0</v>
      </c>
      <c r="N255" s="61"/>
      <c r="O255" s="60">
        <f t="shared" si="58"/>
        <v>146</v>
      </c>
      <c r="P255" s="61"/>
      <c r="Q255" s="63">
        <f t="shared" si="59"/>
        <v>8476</v>
      </c>
      <c r="R255" s="101">
        <f t="shared" si="60"/>
        <v>4238</v>
      </c>
    </row>
    <row r="256" spans="1:18" s="9" customFormat="1" ht="60" customHeight="1" x14ac:dyDescent="0.25">
      <c r="A256" s="126">
        <v>212</v>
      </c>
      <c r="B256" s="125" t="s">
        <v>150</v>
      </c>
      <c r="C256" s="99" t="s">
        <v>268</v>
      </c>
      <c r="D256" s="99" t="s">
        <v>269</v>
      </c>
      <c r="E256" s="65" t="s">
        <v>151</v>
      </c>
      <c r="F256" s="76" t="s">
        <v>17</v>
      </c>
      <c r="G256" s="34">
        <v>45536</v>
      </c>
      <c r="H256" s="60">
        <v>283.63</v>
      </c>
      <c r="I256" s="52">
        <f t="shared" si="57"/>
        <v>8622</v>
      </c>
      <c r="J256" s="61"/>
      <c r="K256" s="62">
        <f t="shared" si="61"/>
        <v>12763.35</v>
      </c>
      <c r="L256" s="62">
        <f t="shared" si="62"/>
        <v>1418.15</v>
      </c>
      <c r="M256" s="60">
        <v>0</v>
      </c>
      <c r="N256" s="61"/>
      <c r="O256" s="60">
        <f t="shared" si="58"/>
        <v>146</v>
      </c>
      <c r="P256" s="61"/>
      <c r="Q256" s="63">
        <f t="shared" si="59"/>
        <v>8476</v>
      </c>
      <c r="R256" s="101">
        <f t="shared" si="60"/>
        <v>4238</v>
      </c>
    </row>
    <row r="257" spans="1:18" s="6" customFormat="1" ht="30" customHeight="1" thickBot="1" x14ac:dyDescent="0.3">
      <c r="A257" s="7"/>
      <c r="B257" s="55" t="s">
        <v>19</v>
      </c>
      <c r="C257" s="55"/>
      <c r="D257" s="55"/>
      <c r="E257" s="56"/>
      <c r="F257" s="4"/>
      <c r="G257" s="7"/>
      <c r="H257" s="4"/>
      <c r="I257" s="4"/>
      <c r="J257" s="4"/>
      <c r="K257" s="4"/>
      <c r="L257" s="4"/>
      <c r="M257" s="13"/>
      <c r="N257" s="13"/>
      <c r="O257" s="13"/>
      <c r="P257" s="13"/>
      <c r="Q257" s="13"/>
      <c r="R257" s="130"/>
    </row>
    <row r="258" spans="1:18" s="6" customFormat="1" ht="30" customHeight="1" thickBot="1" x14ac:dyDescent="0.3">
      <c r="A258" s="7"/>
      <c r="B258" s="55" t="s">
        <v>20</v>
      </c>
      <c r="C258" s="55"/>
      <c r="D258" s="55"/>
      <c r="E258" s="56"/>
      <c r="F258" s="218" t="s">
        <v>18</v>
      </c>
      <c r="G258" s="219"/>
      <c r="H258" s="219"/>
      <c r="I258" s="17">
        <f t="shared" ref="I258:R258" si="63">SUM(I254:I256)</f>
        <v>25866</v>
      </c>
      <c r="J258" s="17">
        <f t="shared" si="63"/>
        <v>0</v>
      </c>
      <c r="K258" s="17">
        <f t="shared" si="63"/>
        <v>38290.050000000003</v>
      </c>
      <c r="L258" s="17">
        <f t="shared" si="63"/>
        <v>4254.4500000000007</v>
      </c>
      <c r="M258" s="17">
        <f t="shared" si="63"/>
        <v>0</v>
      </c>
      <c r="N258" s="17">
        <f t="shared" si="63"/>
        <v>0</v>
      </c>
      <c r="O258" s="17">
        <f t="shared" si="63"/>
        <v>438</v>
      </c>
      <c r="P258" s="17">
        <f t="shared" si="63"/>
        <v>0</v>
      </c>
      <c r="Q258" s="17">
        <f t="shared" si="63"/>
        <v>25428</v>
      </c>
      <c r="R258" s="17">
        <f t="shared" si="63"/>
        <v>12714</v>
      </c>
    </row>
    <row r="259" spans="1:18" ht="30" customHeight="1" thickBot="1" x14ac:dyDescent="0.3">
      <c r="A259" s="9"/>
      <c r="B259" s="55" t="s">
        <v>21</v>
      </c>
      <c r="C259" s="55"/>
      <c r="D259" s="55"/>
      <c r="E259" s="55"/>
      <c r="F259" s="275" t="s">
        <v>445</v>
      </c>
      <c r="G259" s="276"/>
      <c r="H259" s="276"/>
      <c r="I259" s="161">
        <f>+I258*12</f>
        <v>310392</v>
      </c>
      <c r="J259" s="159">
        <f t="shared" ref="J259:R259" si="64">+J258*12</f>
        <v>0</v>
      </c>
      <c r="K259" s="161">
        <f>+K258</f>
        <v>38290.050000000003</v>
      </c>
      <c r="L259" s="159">
        <f>+L258</f>
        <v>4254.4500000000007</v>
      </c>
      <c r="M259" s="161">
        <f t="shared" si="64"/>
        <v>0</v>
      </c>
      <c r="N259" s="159">
        <f t="shared" si="64"/>
        <v>0</v>
      </c>
      <c r="O259" s="161">
        <f t="shared" si="64"/>
        <v>5256</v>
      </c>
      <c r="P259" s="159">
        <f t="shared" si="64"/>
        <v>0</v>
      </c>
      <c r="Q259" s="161">
        <f t="shared" si="64"/>
        <v>305136</v>
      </c>
      <c r="R259" s="160">
        <f t="shared" si="64"/>
        <v>152568</v>
      </c>
    </row>
    <row r="260" spans="1:18" ht="30" customHeight="1" x14ac:dyDescent="0.25">
      <c r="A260" s="9"/>
      <c r="B260" s="55" t="s">
        <v>22</v>
      </c>
      <c r="C260" s="55"/>
      <c r="D260" s="55"/>
      <c r="E260" s="55"/>
      <c r="F260" s="58"/>
      <c r="G260" s="10"/>
      <c r="H260" s="58"/>
      <c r="I260" s="59"/>
      <c r="J260" s="59"/>
      <c r="K260" s="59"/>
      <c r="L260" s="59"/>
      <c r="M260" s="59"/>
      <c r="N260" s="59"/>
      <c r="O260" s="59"/>
      <c r="P260" s="59"/>
      <c r="Q260" s="59"/>
      <c r="R260" s="130"/>
    </row>
    <row r="261" spans="1:18" ht="30" customHeight="1" x14ac:dyDescent="0.25">
      <c r="A261" s="9"/>
      <c r="B261" s="55" t="s">
        <v>23</v>
      </c>
      <c r="C261" s="55"/>
      <c r="D261" s="55"/>
      <c r="E261" s="55"/>
      <c r="F261" s="58"/>
      <c r="G261" s="10"/>
      <c r="H261" s="58"/>
      <c r="I261" s="59"/>
      <c r="J261" s="59"/>
      <c r="K261" s="59"/>
      <c r="L261" s="59"/>
      <c r="M261" s="59"/>
      <c r="N261" s="59"/>
      <c r="O261" s="59"/>
      <c r="P261" s="59"/>
      <c r="Q261" s="59"/>
      <c r="R261" s="130"/>
    </row>
    <row r="262" spans="1:18" ht="30" customHeight="1" x14ac:dyDescent="0.25">
      <c r="A262" s="9"/>
      <c r="B262" s="55" t="s">
        <v>549</v>
      </c>
      <c r="C262" s="55"/>
      <c r="D262" s="55"/>
      <c r="E262" s="55"/>
      <c r="F262" s="58"/>
      <c r="G262" s="10"/>
      <c r="H262" s="58"/>
      <c r="I262" s="59"/>
      <c r="J262" s="59"/>
      <c r="K262" s="59"/>
      <c r="L262" s="59"/>
      <c r="M262" s="59"/>
      <c r="N262" s="59"/>
      <c r="O262" s="59"/>
      <c r="P262" s="59"/>
      <c r="Q262" s="59"/>
      <c r="R262" s="130"/>
    </row>
    <row r="263" spans="1:18" ht="30" customHeight="1" x14ac:dyDescent="0.25">
      <c r="A263" s="9"/>
      <c r="B263" s="55"/>
      <c r="C263" s="55"/>
      <c r="D263" s="55"/>
      <c r="E263" s="55"/>
      <c r="F263" s="58"/>
      <c r="G263" s="10"/>
      <c r="H263" s="58"/>
      <c r="I263" s="59"/>
      <c r="J263" s="59"/>
      <c r="K263" s="59"/>
      <c r="L263" s="59"/>
      <c r="M263" s="59"/>
      <c r="N263" s="59"/>
      <c r="O263" s="59"/>
      <c r="P263" s="59"/>
      <c r="Q263" s="59"/>
      <c r="R263" s="130"/>
    </row>
    <row r="264" spans="1:18" s="18" customFormat="1" ht="30" customHeight="1" x14ac:dyDescent="0.25">
      <c r="A264" s="220" t="s">
        <v>32</v>
      </c>
      <c r="B264" s="220"/>
      <c r="C264" s="220"/>
      <c r="D264" s="220"/>
      <c r="E264" s="220"/>
      <c r="F264" s="220"/>
      <c r="G264" s="220"/>
      <c r="H264" s="220"/>
      <c r="I264" s="220"/>
      <c r="J264" s="220"/>
      <c r="K264" s="220"/>
      <c r="L264" s="220"/>
      <c r="M264" s="220"/>
      <c r="N264" s="220"/>
      <c r="O264" s="220"/>
      <c r="P264" s="220"/>
      <c r="Q264" s="220"/>
      <c r="R264" s="130"/>
    </row>
    <row r="265" spans="1:18" s="18" customFormat="1" ht="30" customHeight="1" x14ac:dyDescent="0.25">
      <c r="A265" s="221" t="s">
        <v>0</v>
      </c>
      <c r="B265" s="221"/>
      <c r="C265" s="221"/>
      <c r="D265" s="221"/>
      <c r="E265" s="221"/>
      <c r="F265" s="221"/>
      <c r="G265" s="221"/>
      <c r="H265" s="221"/>
      <c r="I265" s="221"/>
      <c r="J265" s="221"/>
      <c r="K265" s="221"/>
      <c r="L265" s="221"/>
      <c r="M265" s="221"/>
      <c r="N265" s="221"/>
      <c r="O265" s="221"/>
      <c r="P265" s="221"/>
      <c r="Q265" s="221"/>
      <c r="R265" s="130"/>
    </row>
    <row r="266" spans="1:18" ht="30" customHeight="1" thickBot="1" x14ac:dyDescent="0.3">
      <c r="A266" s="221" t="s">
        <v>453</v>
      </c>
      <c r="B266" s="221"/>
      <c r="C266" s="221"/>
      <c r="D266" s="221"/>
      <c r="E266" s="221"/>
      <c r="F266" s="221"/>
      <c r="G266" s="221"/>
      <c r="H266" s="221"/>
      <c r="I266" s="221"/>
      <c r="J266" s="221"/>
      <c r="K266" s="221"/>
      <c r="L266" s="221"/>
      <c r="M266" s="221"/>
      <c r="N266" s="221"/>
      <c r="O266" s="221"/>
      <c r="P266" s="221"/>
      <c r="Q266" s="221"/>
      <c r="R266" s="130"/>
    </row>
    <row r="267" spans="1:18" s="5" customFormat="1" ht="24.95" customHeight="1" x14ac:dyDescent="0.25">
      <c r="A267" s="109"/>
      <c r="B267" s="247" t="s">
        <v>450</v>
      </c>
      <c r="C267" s="248"/>
      <c r="D267" s="248"/>
      <c r="E267" s="248"/>
      <c r="F267" s="248"/>
      <c r="G267" s="248"/>
      <c r="H267" s="248"/>
      <c r="I267" s="248"/>
      <c r="J267" s="248"/>
      <c r="K267" s="248"/>
      <c r="L267" s="248"/>
      <c r="M267" s="248"/>
      <c r="N267" s="248"/>
      <c r="O267" s="248"/>
      <c r="P267" s="248"/>
      <c r="Q267" s="248"/>
      <c r="R267" s="251"/>
    </row>
    <row r="268" spans="1:18" s="5" customFormat="1" ht="24.95" customHeight="1" thickBot="1" x14ac:dyDescent="0.3">
      <c r="A268" s="110"/>
      <c r="B268" s="249"/>
      <c r="C268" s="250"/>
      <c r="D268" s="250"/>
      <c r="E268" s="250"/>
      <c r="F268" s="250"/>
      <c r="G268" s="250"/>
      <c r="H268" s="250"/>
      <c r="I268" s="250"/>
      <c r="J268" s="250"/>
      <c r="K268" s="250"/>
      <c r="L268" s="250"/>
      <c r="M268" s="250"/>
      <c r="N268" s="250"/>
      <c r="O268" s="250"/>
      <c r="P268" s="250"/>
      <c r="Q268" s="250"/>
      <c r="R268" s="252"/>
    </row>
    <row r="269" spans="1:18" s="25" customFormat="1" ht="27.95" customHeight="1" x14ac:dyDescent="0.25">
      <c r="A269" s="237"/>
      <c r="B269" s="239" t="s">
        <v>2</v>
      </c>
      <c r="C269" s="267" t="s">
        <v>178</v>
      </c>
      <c r="D269" s="267" t="s">
        <v>179</v>
      </c>
      <c r="E269" s="239" t="s">
        <v>3</v>
      </c>
      <c r="F269" s="227" t="s">
        <v>4</v>
      </c>
      <c r="G269" s="243" t="s">
        <v>5</v>
      </c>
      <c r="H269" s="227" t="s">
        <v>6</v>
      </c>
      <c r="I269" s="227" t="s">
        <v>7</v>
      </c>
      <c r="J269" s="227" t="s">
        <v>8</v>
      </c>
      <c r="K269" s="227" t="s">
        <v>9</v>
      </c>
      <c r="L269" s="227" t="s">
        <v>10</v>
      </c>
      <c r="M269" s="227" t="s">
        <v>11</v>
      </c>
      <c r="N269" s="227" t="s">
        <v>12</v>
      </c>
      <c r="O269" s="227" t="s">
        <v>13</v>
      </c>
      <c r="P269" s="227" t="s">
        <v>14</v>
      </c>
      <c r="Q269" s="234" t="s">
        <v>15</v>
      </c>
      <c r="R269" s="230" t="s">
        <v>140</v>
      </c>
    </row>
    <row r="270" spans="1:18" s="25" customFormat="1" ht="27.95" customHeight="1" thickBot="1" x14ac:dyDescent="0.3">
      <c r="A270" s="269"/>
      <c r="B270" s="240"/>
      <c r="C270" s="270"/>
      <c r="D270" s="270"/>
      <c r="E270" s="263"/>
      <c r="F270" s="264"/>
      <c r="G270" s="265"/>
      <c r="H270" s="228"/>
      <c r="I270" s="228"/>
      <c r="J270" s="228"/>
      <c r="K270" s="228"/>
      <c r="L270" s="228"/>
      <c r="M270" s="228"/>
      <c r="N270" s="229"/>
      <c r="O270" s="229"/>
      <c r="P270" s="228"/>
      <c r="Q270" s="235"/>
      <c r="R270" s="208"/>
    </row>
    <row r="271" spans="1:18" s="25" customFormat="1" ht="60" customHeight="1" x14ac:dyDescent="0.25">
      <c r="A271" s="192">
        <v>213</v>
      </c>
      <c r="B271" s="65" t="s">
        <v>168</v>
      </c>
      <c r="C271" s="99" t="s">
        <v>273</v>
      </c>
      <c r="D271" s="99" t="s">
        <v>274</v>
      </c>
      <c r="E271" s="119" t="s">
        <v>152</v>
      </c>
      <c r="F271" s="76" t="s">
        <v>17</v>
      </c>
      <c r="G271" s="122">
        <v>45536</v>
      </c>
      <c r="H271" s="60">
        <v>283.63</v>
      </c>
      <c r="I271" s="52">
        <f>4311*2</f>
        <v>8622</v>
      </c>
      <c r="J271" s="61"/>
      <c r="K271" s="62">
        <f>+H271*45</f>
        <v>12763.35</v>
      </c>
      <c r="L271" s="62">
        <f>+H271*20*0.25</f>
        <v>1418.15</v>
      </c>
      <c r="M271" s="60">
        <v>0</v>
      </c>
      <c r="N271" s="61"/>
      <c r="O271" s="60">
        <f>73*2</f>
        <v>146</v>
      </c>
      <c r="P271" s="61"/>
      <c r="Q271" s="63">
        <f>+I271+M271-O271</f>
        <v>8476</v>
      </c>
      <c r="R271" s="94">
        <f>+Q271/2</f>
        <v>4238</v>
      </c>
    </row>
    <row r="272" spans="1:18" s="25" customFormat="1" ht="60" customHeight="1" x14ac:dyDescent="0.25">
      <c r="A272" s="192">
        <v>223</v>
      </c>
      <c r="B272" s="65" t="s">
        <v>156</v>
      </c>
      <c r="C272" s="99" t="s">
        <v>275</v>
      </c>
      <c r="D272" s="99" t="s">
        <v>276</v>
      </c>
      <c r="E272" s="119" t="s">
        <v>291</v>
      </c>
      <c r="F272" s="78" t="s">
        <v>16</v>
      </c>
      <c r="G272" s="122">
        <v>45551</v>
      </c>
      <c r="H272" s="60">
        <v>557.64250000000004</v>
      </c>
      <c r="I272" s="62">
        <f>8476*2</f>
        <v>16952</v>
      </c>
      <c r="J272" s="61"/>
      <c r="K272" s="62">
        <f t="shared" ref="K272:K280" si="65">+H272*45</f>
        <v>25093.912500000002</v>
      </c>
      <c r="L272" s="62">
        <f t="shared" ref="L272:L280" si="66">+H272*20*0.25</f>
        <v>2788.2125000000001</v>
      </c>
      <c r="M272" s="60">
        <v>0</v>
      </c>
      <c r="N272" s="77"/>
      <c r="O272" s="60">
        <f>976*2</f>
        <v>1952</v>
      </c>
      <c r="P272" s="61"/>
      <c r="Q272" s="63">
        <f>+I272-O272</f>
        <v>15000</v>
      </c>
      <c r="R272" s="94">
        <f t="shared" ref="R272:R280" si="67">+Q272/2</f>
        <v>7500</v>
      </c>
    </row>
    <row r="273" spans="1:18" s="25" customFormat="1" ht="60" customHeight="1" x14ac:dyDescent="0.25">
      <c r="A273" s="192">
        <v>214</v>
      </c>
      <c r="B273" s="65" t="s">
        <v>167</v>
      </c>
      <c r="C273" s="99" t="s">
        <v>277</v>
      </c>
      <c r="D273" s="99" t="s">
        <v>278</v>
      </c>
      <c r="E273" s="119" t="s">
        <v>152</v>
      </c>
      <c r="F273" s="76" t="s">
        <v>17</v>
      </c>
      <c r="G273" s="122">
        <v>45536</v>
      </c>
      <c r="H273" s="60">
        <v>283.63</v>
      </c>
      <c r="I273" s="52">
        <f t="shared" ref="I273:I280" si="68">4311*2</f>
        <v>8622</v>
      </c>
      <c r="J273" s="61"/>
      <c r="K273" s="62">
        <f t="shared" si="65"/>
        <v>12763.35</v>
      </c>
      <c r="L273" s="62">
        <f t="shared" si="66"/>
        <v>1418.15</v>
      </c>
      <c r="M273" s="60">
        <v>0</v>
      </c>
      <c r="N273" s="61"/>
      <c r="O273" s="60">
        <f t="shared" ref="O273:O280" si="69">73*2</f>
        <v>146</v>
      </c>
      <c r="P273" s="61"/>
      <c r="Q273" s="63">
        <f t="shared" ref="Q273:Q280" si="70">+I273+M273-O273</f>
        <v>8476</v>
      </c>
      <c r="R273" s="94">
        <f t="shared" si="67"/>
        <v>4238</v>
      </c>
    </row>
    <row r="274" spans="1:18" s="25" customFormat="1" ht="60" customHeight="1" x14ac:dyDescent="0.25">
      <c r="A274" s="192">
        <v>215</v>
      </c>
      <c r="B274" s="65" t="s">
        <v>124</v>
      </c>
      <c r="C274" s="99" t="s">
        <v>279</v>
      </c>
      <c r="D274" s="99" t="s">
        <v>280</v>
      </c>
      <c r="E274" s="119" t="s">
        <v>152</v>
      </c>
      <c r="F274" s="76" t="s">
        <v>17</v>
      </c>
      <c r="G274" s="122">
        <v>45536</v>
      </c>
      <c r="H274" s="60">
        <v>283.63</v>
      </c>
      <c r="I274" s="52">
        <f t="shared" si="68"/>
        <v>8622</v>
      </c>
      <c r="J274" s="61"/>
      <c r="K274" s="62">
        <f t="shared" si="65"/>
        <v>12763.35</v>
      </c>
      <c r="L274" s="62">
        <f t="shared" si="66"/>
        <v>1418.15</v>
      </c>
      <c r="M274" s="60">
        <v>0</v>
      </c>
      <c r="N274" s="61"/>
      <c r="O274" s="60">
        <f t="shared" si="69"/>
        <v>146</v>
      </c>
      <c r="P274" s="61"/>
      <c r="Q274" s="63">
        <f t="shared" si="70"/>
        <v>8476</v>
      </c>
      <c r="R274" s="94">
        <f t="shared" si="67"/>
        <v>4238</v>
      </c>
    </row>
    <row r="275" spans="1:18" s="25" customFormat="1" ht="60" customHeight="1" x14ac:dyDescent="0.25">
      <c r="A275" s="192">
        <v>216</v>
      </c>
      <c r="B275" s="65" t="s">
        <v>125</v>
      </c>
      <c r="C275" s="99" t="s">
        <v>281</v>
      </c>
      <c r="D275" s="99" t="s">
        <v>282</v>
      </c>
      <c r="E275" s="119" t="s">
        <v>152</v>
      </c>
      <c r="F275" s="76" t="s">
        <v>17</v>
      </c>
      <c r="G275" s="122">
        <v>45536</v>
      </c>
      <c r="H275" s="60">
        <v>283.63</v>
      </c>
      <c r="I275" s="52">
        <f t="shared" si="68"/>
        <v>8622</v>
      </c>
      <c r="J275" s="61"/>
      <c r="K275" s="62">
        <f t="shared" si="65"/>
        <v>12763.35</v>
      </c>
      <c r="L275" s="62">
        <f t="shared" si="66"/>
        <v>1418.15</v>
      </c>
      <c r="M275" s="60">
        <v>0</v>
      </c>
      <c r="N275" s="61"/>
      <c r="O275" s="60">
        <f t="shared" si="69"/>
        <v>146</v>
      </c>
      <c r="P275" s="61"/>
      <c r="Q275" s="63">
        <f t="shared" si="70"/>
        <v>8476</v>
      </c>
      <c r="R275" s="94">
        <f t="shared" si="67"/>
        <v>4238</v>
      </c>
    </row>
    <row r="276" spans="1:18" s="25" customFormat="1" ht="60" customHeight="1" x14ac:dyDescent="0.25">
      <c r="A276" s="192">
        <v>217</v>
      </c>
      <c r="B276" s="65" t="s">
        <v>126</v>
      </c>
      <c r="C276" s="99" t="s">
        <v>283</v>
      </c>
      <c r="D276" s="99" t="s">
        <v>284</v>
      </c>
      <c r="E276" s="119" t="s">
        <v>152</v>
      </c>
      <c r="F276" s="76" t="s">
        <v>17</v>
      </c>
      <c r="G276" s="122">
        <v>45536</v>
      </c>
      <c r="H276" s="60">
        <v>283.63</v>
      </c>
      <c r="I276" s="52">
        <f t="shared" si="68"/>
        <v>8622</v>
      </c>
      <c r="J276" s="61"/>
      <c r="K276" s="62">
        <f t="shared" si="65"/>
        <v>12763.35</v>
      </c>
      <c r="L276" s="62">
        <f t="shared" si="66"/>
        <v>1418.15</v>
      </c>
      <c r="M276" s="60">
        <v>0</v>
      </c>
      <c r="N276" s="61"/>
      <c r="O276" s="60">
        <f t="shared" si="69"/>
        <v>146</v>
      </c>
      <c r="P276" s="61"/>
      <c r="Q276" s="63">
        <f t="shared" si="70"/>
        <v>8476</v>
      </c>
      <c r="R276" s="94">
        <f t="shared" si="67"/>
        <v>4238</v>
      </c>
    </row>
    <row r="277" spans="1:18" s="25" customFormat="1" ht="60" customHeight="1" x14ac:dyDescent="0.25">
      <c r="A277" s="192">
        <v>243</v>
      </c>
      <c r="B277" s="65" t="s">
        <v>491</v>
      </c>
      <c r="C277" s="99" t="s">
        <v>492</v>
      </c>
      <c r="D277" s="99" t="s">
        <v>493</v>
      </c>
      <c r="E277" s="119" t="s">
        <v>152</v>
      </c>
      <c r="F277" s="76" t="s">
        <v>17</v>
      </c>
      <c r="G277" s="122">
        <v>45689</v>
      </c>
      <c r="H277" s="60">
        <v>283.63</v>
      </c>
      <c r="I277" s="52">
        <f t="shared" si="68"/>
        <v>8622</v>
      </c>
      <c r="J277" s="61"/>
      <c r="K277" s="62">
        <f t="shared" si="65"/>
        <v>12763.35</v>
      </c>
      <c r="L277" s="62">
        <f t="shared" si="66"/>
        <v>1418.15</v>
      </c>
      <c r="M277" s="60">
        <v>0</v>
      </c>
      <c r="N277" s="61"/>
      <c r="O277" s="60">
        <f t="shared" si="69"/>
        <v>146</v>
      </c>
      <c r="P277" s="61"/>
      <c r="Q277" s="63">
        <f t="shared" si="70"/>
        <v>8476</v>
      </c>
      <c r="R277" s="94">
        <f t="shared" si="67"/>
        <v>4238</v>
      </c>
    </row>
    <row r="278" spans="1:18" s="25" customFormat="1" ht="60" customHeight="1" x14ac:dyDescent="0.25">
      <c r="A278" s="193">
        <v>229</v>
      </c>
      <c r="B278" s="295" t="s">
        <v>270</v>
      </c>
      <c r="C278" s="99" t="s">
        <v>285</v>
      </c>
      <c r="D278" s="99" t="s">
        <v>286</v>
      </c>
      <c r="E278" s="119" t="s">
        <v>152</v>
      </c>
      <c r="F278" s="76" t="s">
        <v>17</v>
      </c>
      <c r="G278" s="122">
        <v>45566</v>
      </c>
      <c r="H278" s="60">
        <v>283.63</v>
      </c>
      <c r="I278" s="52">
        <f t="shared" si="68"/>
        <v>8622</v>
      </c>
      <c r="J278" s="61"/>
      <c r="K278" s="62">
        <f t="shared" si="65"/>
        <v>12763.35</v>
      </c>
      <c r="L278" s="62">
        <f t="shared" si="66"/>
        <v>1418.15</v>
      </c>
      <c r="M278" s="60">
        <v>0</v>
      </c>
      <c r="N278" s="61"/>
      <c r="O278" s="60">
        <f t="shared" si="69"/>
        <v>146</v>
      </c>
      <c r="P278" s="61"/>
      <c r="Q278" s="63">
        <f t="shared" si="70"/>
        <v>8476</v>
      </c>
      <c r="R278" s="94">
        <f t="shared" si="67"/>
        <v>4238</v>
      </c>
    </row>
    <row r="279" spans="1:18" s="25" customFormat="1" ht="60" customHeight="1" x14ac:dyDescent="0.25">
      <c r="A279" s="193">
        <v>230</v>
      </c>
      <c r="B279" s="295" t="s">
        <v>271</v>
      </c>
      <c r="C279" s="99" t="s">
        <v>287</v>
      </c>
      <c r="D279" s="99" t="s">
        <v>288</v>
      </c>
      <c r="E279" s="119" t="s">
        <v>152</v>
      </c>
      <c r="F279" s="76" t="s">
        <v>17</v>
      </c>
      <c r="G279" s="122">
        <v>45566</v>
      </c>
      <c r="H279" s="60">
        <v>283.63</v>
      </c>
      <c r="I279" s="52">
        <f t="shared" si="68"/>
        <v>8622</v>
      </c>
      <c r="J279" s="61"/>
      <c r="K279" s="62">
        <f t="shared" si="65"/>
        <v>12763.35</v>
      </c>
      <c r="L279" s="62">
        <f t="shared" si="66"/>
        <v>1418.15</v>
      </c>
      <c r="M279" s="60">
        <v>0</v>
      </c>
      <c r="N279" s="61"/>
      <c r="O279" s="60">
        <f t="shared" si="69"/>
        <v>146</v>
      </c>
      <c r="P279" s="61"/>
      <c r="Q279" s="63">
        <f t="shared" si="70"/>
        <v>8476</v>
      </c>
      <c r="R279" s="94">
        <f t="shared" si="67"/>
        <v>4238</v>
      </c>
    </row>
    <row r="280" spans="1:18" s="25" customFormat="1" ht="60" customHeight="1" thickBot="1" x14ac:dyDescent="0.3">
      <c r="A280" s="194">
        <v>231</v>
      </c>
      <c r="B280" s="297" t="s">
        <v>272</v>
      </c>
      <c r="C280" s="140" t="s">
        <v>289</v>
      </c>
      <c r="D280" s="140" t="s">
        <v>290</v>
      </c>
      <c r="E280" s="195" t="s">
        <v>152</v>
      </c>
      <c r="F280" s="196" t="s">
        <v>17</v>
      </c>
      <c r="G280" s="197">
        <v>45566</v>
      </c>
      <c r="H280" s="90">
        <v>283.63</v>
      </c>
      <c r="I280" s="143">
        <f t="shared" si="68"/>
        <v>8622</v>
      </c>
      <c r="J280" s="92"/>
      <c r="K280" s="91">
        <f t="shared" si="65"/>
        <v>12763.35</v>
      </c>
      <c r="L280" s="91">
        <f t="shared" si="66"/>
        <v>1418.15</v>
      </c>
      <c r="M280" s="90">
        <v>0</v>
      </c>
      <c r="N280" s="92"/>
      <c r="O280" s="90">
        <f t="shared" si="69"/>
        <v>146</v>
      </c>
      <c r="P280" s="92"/>
      <c r="Q280" s="93">
        <f t="shared" si="70"/>
        <v>8476</v>
      </c>
      <c r="R280" s="95">
        <f t="shared" si="67"/>
        <v>4238</v>
      </c>
    </row>
    <row r="281" spans="1:18" s="6" customFormat="1" ht="30" customHeight="1" thickBot="1" x14ac:dyDescent="0.3">
      <c r="A281" s="7"/>
      <c r="B281" s="55" t="s">
        <v>19</v>
      </c>
      <c r="C281" s="55"/>
      <c r="D281" s="55"/>
      <c r="E281" s="56"/>
      <c r="F281" s="4"/>
      <c r="G281" s="7"/>
      <c r="H281" s="4"/>
      <c r="I281" s="4"/>
      <c r="J281" s="4"/>
      <c r="K281" s="4"/>
      <c r="L281" s="4"/>
      <c r="M281" s="13"/>
      <c r="N281" s="13"/>
      <c r="O281" s="13"/>
      <c r="P281" s="13"/>
      <c r="Q281" s="13"/>
      <c r="R281" s="130"/>
    </row>
    <row r="282" spans="1:18" s="6" customFormat="1" ht="30" customHeight="1" thickBot="1" x14ac:dyDescent="0.3">
      <c r="A282" s="7"/>
      <c r="B282" s="55" t="s">
        <v>20</v>
      </c>
      <c r="C282" s="55"/>
      <c r="D282" s="55"/>
      <c r="E282" s="56"/>
      <c r="F282" s="218" t="s">
        <v>18</v>
      </c>
      <c r="G282" s="219"/>
      <c r="H282" s="219"/>
      <c r="I282" s="129">
        <f>SUM(I271:I280)</f>
        <v>94550</v>
      </c>
      <c r="J282" s="129">
        <f t="shared" ref="J282:Q282" si="71">SUM(J271:J280)</f>
        <v>0</v>
      </c>
      <c r="K282" s="133">
        <f>SUM(K271:K280)</f>
        <v>139964.06250000003</v>
      </c>
      <c r="L282" s="133">
        <f>SUM(L271:L280)</f>
        <v>15551.562499999998</v>
      </c>
      <c r="M282" s="129">
        <f t="shared" si="71"/>
        <v>0</v>
      </c>
      <c r="N282" s="129">
        <f t="shared" si="71"/>
        <v>0</v>
      </c>
      <c r="O282" s="129">
        <f t="shared" si="71"/>
        <v>3266</v>
      </c>
      <c r="P282" s="129">
        <f t="shared" si="71"/>
        <v>0</v>
      </c>
      <c r="Q282" s="129">
        <f t="shared" si="71"/>
        <v>91284</v>
      </c>
      <c r="R282" s="129">
        <f>SUM(R271:R280)</f>
        <v>45642</v>
      </c>
    </row>
    <row r="283" spans="1:18" ht="30" customHeight="1" thickBot="1" x14ac:dyDescent="0.3">
      <c r="A283" s="9"/>
      <c r="B283" s="55" t="s">
        <v>21</v>
      </c>
      <c r="C283" s="55"/>
      <c r="D283" s="55"/>
      <c r="E283" s="55"/>
      <c r="F283" s="273" t="s">
        <v>445</v>
      </c>
      <c r="G283" s="274"/>
      <c r="H283" s="274"/>
      <c r="I283" s="153">
        <f>+I282*12</f>
        <v>1134600</v>
      </c>
      <c r="J283" s="151">
        <f t="shared" ref="J283:R283" si="72">+J282*12</f>
        <v>0</v>
      </c>
      <c r="K283" s="153">
        <f>+K282</f>
        <v>139964.06250000003</v>
      </c>
      <c r="L283" s="151">
        <f>+L282</f>
        <v>15551.562499999998</v>
      </c>
      <c r="M283" s="153">
        <f t="shared" si="72"/>
        <v>0</v>
      </c>
      <c r="N283" s="151">
        <f t="shared" si="72"/>
        <v>0</v>
      </c>
      <c r="O283" s="153">
        <f t="shared" si="72"/>
        <v>39192</v>
      </c>
      <c r="P283" s="151">
        <f t="shared" si="72"/>
        <v>0</v>
      </c>
      <c r="Q283" s="153">
        <f t="shared" si="72"/>
        <v>1095408</v>
      </c>
      <c r="R283" s="152">
        <f t="shared" si="72"/>
        <v>547704</v>
      </c>
    </row>
    <row r="284" spans="1:18" ht="30" customHeight="1" x14ac:dyDescent="0.25">
      <c r="A284" s="9"/>
      <c r="B284" s="55" t="s">
        <v>22</v>
      </c>
      <c r="C284" s="55"/>
      <c r="D284" s="55"/>
      <c r="E284" s="55"/>
      <c r="F284" s="58"/>
      <c r="G284" s="10"/>
      <c r="H284" s="58"/>
      <c r="I284" s="59"/>
      <c r="J284" s="59"/>
      <c r="K284" s="59"/>
      <c r="L284" s="59"/>
      <c r="M284" s="59"/>
      <c r="N284" s="59"/>
      <c r="O284" s="59"/>
      <c r="P284" s="59" t="s">
        <v>81</v>
      </c>
      <c r="Q284" s="59"/>
      <c r="R284" s="130"/>
    </row>
    <row r="285" spans="1:18" ht="30" customHeight="1" x14ac:dyDescent="0.25">
      <c r="A285" s="9"/>
      <c r="B285" s="55" t="s">
        <v>23</v>
      </c>
      <c r="C285" s="55"/>
      <c r="D285" s="55"/>
      <c r="E285" s="55"/>
      <c r="F285" s="58"/>
      <c r="G285" s="10"/>
      <c r="H285" s="58"/>
      <c r="I285" s="59"/>
      <c r="J285" s="59"/>
      <c r="K285" s="59"/>
      <c r="L285" s="59"/>
      <c r="M285" s="59"/>
      <c r="N285" s="59"/>
      <c r="O285" s="59"/>
      <c r="P285" s="59"/>
      <c r="Q285" s="59"/>
      <c r="R285" s="130"/>
    </row>
    <row r="286" spans="1:18" ht="30" customHeight="1" x14ac:dyDescent="0.25">
      <c r="A286" s="9"/>
      <c r="B286" s="55" t="s">
        <v>549</v>
      </c>
      <c r="C286" s="55"/>
      <c r="D286" s="55"/>
      <c r="E286" s="55"/>
      <c r="F286" s="58"/>
      <c r="G286" s="10"/>
      <c r="H286" s="58"/>
      <c r="I286" s="59"/>
      <c r="J286" s="59"/>
      <c r="K286" s="59"/>
      <c r="L286" s="59"/>
      <c r="M286" s="59"/>
      <c r="N286" s="59"/>
      <c r="O286" s="59"/>
      <c r="P286" s="59"/>
      <c r="Q286" s="59"/>
      <c r="R286" s="130"/>
    </row>
    <row r="287" spans="1:18" ht="30" customHeight="1" x14ac:dyDescent="0.25">
      <c r="A287" s="9"/>
      <c r="B287" s="55"/>
      <c r="C287" s="55"/>
      <c r="D287" s="55"/>
      <c r="E287" s="55"/>
      <c r="F287" s="58"/>
      <c r="G287" s="10"/>
      <c r="H287" s="58"/>
      <c r="I287" s="59"/>
      <c r="J287" s="59"/>
      <c r="K287" s="59"/>
      <c r="L287" s="59"/>
      <c r="M287" s="59"/>
      <c r="N287" s="59"/>
      <c r="O287" s="59"/>
      <c r="P287" s="59"/>
      <c r="Q287" s="59"/>
      <c r="R287" s="130"/>
    </row>
    <row r="288" spans="1:18" s="18" customFormat="1" ht="30" customHeight="1" x14ac:dyDescent="0.25">
      <c r="A288" s="220" t="s">
        <v>32</v>
      </c>
      <c r="B288" s="220"/>
      <c r="C288" s="220"/>
      <c r="D288" s="220"/>
      <c r="E288" s="220"/>
      <c r="F288" s="220"/>
      <c r="G288" s="220"/>
      <c r="H288" s="220"/>
      <c r="I288" s="220"/>
      <c r="J288" s="220"/>
      <c r="K288" s="220"/>
      <c r="L288" s="220"/>
      <c r="M288" s="220"/>
      <c r="N288" s="220"/>
      <c r="O288" s="220"/>
      <c r="P288" s="220"/>
      <c r="Q288" s="220"/>
      <c r="R288" s="130"/>
    </row>
    <row r="289" spans="1:18" s="18" customFormat="1" ht="30" customHeight="1" x14ac:dyDescent="0.25">
      <c r="A289" s="221" t="s">
        <v>0</v>
      </c>
      <c r="B289" s="221"/>
      <c r="C289" s="221"/>
      <c r="D289" s="221"/>
      <c r="E289" s="221"/>
      <c r="F289" s="221"/>
      <c r="G289" s="221"/>
      <c r="H289" s="221"/>
      <c r="I289" s="221"/>
      <c r="J289" s="221"/>
      <c r="K289" s="221"/>
      <c r="L289" s="221"/>
      <c r="M289" s="221"/>
      <c r="N289" s="221"/>
      <c r="O289" s="221"/>
      <c r="P289" s="221"/>
      <c r="Q289" s="221"/>
      <c r="R289" s="130"/>
    </row>
    <row r="290" spans="1:18" ht="30" customHeight="1" thickBot="1" x14ac:dyDescent="0.3">
      <c r="A290" s="221" t="s">
        <v>453</v>
      </c>
      <c r="B290" s="221"/>
      <c r="C290" s="221"/>
      <c r="D290" s="221"/>
      <c r="E290" s="221"/>
      <c r="F290" s="221"/>
      <c r="G290" s="221"/>
      <c r="H290" s="221"/>
      <c r="I290" s="221"/>
      <c r="J290" s="221"/>
      <c r="K290" s="221"/>
      <c r="L290" s="221"/>
      <c r="M290" s="221"/>
      <c r="N290" s="221"/>
      <c r="O290" s="221"/>
      <c r="P290" s="221"/>
      <c r="Q290" s="221"/>
      <c r="R290" s="130"/>
    </row>
    <row r="291" spans="1:18" s="5" customFormat="1" ht="48" customHeight="1" x14ac:dyDescent="0.25">
      <c r="A291" s="188"/>
      <c r="B291" s="222" t="s">
        <v>447</v>
      </c>
      <c r="C291" s="222"/>
      <c r="D291" s="222"/>
      <c r="E291" s="222"/>
      <c r="F291" s="222"/>
      <c r="G291" s="222"/>
      <c r="H291" s="222"/>
      <c r="I291" s="198"/>
      <c r="J291" s="198"/>
      <c r="K291" s="198"/>
      <c r="L291" s="198"/>
      <c r="M291" s="199"/>
      <c r="N291" s="199"/>
      <c r="O291" s="199"/>
      <c r="P291" s="199"/>
      <c r="Q291" s="199"/>
      <c r="R291" s="200"/>
    </row>
    <row r="292" spans="1:18" s="25" customFormat="1" ht="27.95" customHeight="1" x14ac:dyDescent="0.25">
      <c r="A292" s="223"/>
      <c r="B292" s="225" t="s">
        <v>2</v>
      </c>
      <c r="C292" s="271" t="s">
        <v>178</v>
      </c>
      <c r="D292" s="271" t="s">
        <v>179</v>
      </c>
      <c r="E292" s="225" t="s">
        <v>3</v>
      </c>
      <c r="F292" s="215" t="s">
        <v>4</v>
      </c>
      <c r="G292" s="216" t="s">
        <v>5</v>
      </c>
      <c r="H292" s="215" t="s">
        <v>6</v>
      </c>
      <c r="I292" s="215" t="s">
        <v>7</v>
      </c>
      <c r="J292" s="215" t="s">
        <v>8</v>
      </c>
      <c r="K292" s="215" t="s">
        <v>9</v>
      </c>
      <c r="L292" s="215" t="s">
        <v>10</v>
      </c>
      <c r="M292" s="215" t="s">
        <v>11</v>
      </c>
      <c r="N292" s="215" t="s">
        <v>12</v>
      </c>
      <c r="O292" s="215" t="s">
        <v>13</v>
      </c>
      <c r="P292" s="215" t="s">
        <v>14</v>
      </c>
      <c r="Q292" s="215" t="s">
        <v>15</v>
      </c>
      <c r="R292" s="262" t="s">
        <v>140</v>
      </c>
    </row>
    <row r="293" spans="1:18" s="25" customFormat="1" ht="27.95" customHeight="1" x14ac:dyDescent="0.25">
      <c r="A293" s="224"/>
      <c r="B293" s="226"/>
      <c r="C293" s="271"/>
      <c r="D293" s="271"/>
      <c r="E293" s="225"/>
      <c r="F293" s="215"/>
      <c r="G293" s="216"/>
      <c r="H293" s="215"/>
      <c r="I293" s="215"/>
      <c r="J293" s="215"/>
      <c r="K293" s="215"/>
      <c r="L293" s="215"/>
      <c r="M293" s="215"/>
      <c r="N293" s="217"/>
      <c r="O293" s="217"/>
      <c r="P293" s="215"/>
      <c r="Q293" s="215"/>
      <c r="R293" s="262"/>
    </row>
    <row r="294" spans="1:18" s="25" customFormat="1" ht="60" customHeight="1" x14ac:dyDescent="0.25">
      <c r="A294" s="201">
        <v>237</v>
      </c>
      <c r="B294" s="65" t="s">
        <v>495</v>
      </c>
      <c r="C294" s="65" t="s">
        <v>496</v>
      </c>
      <c r="D294" s="65" t="s">
        <v>497</v>
      </c>
      <c r="E294" s="65" t="s">
        <v>502</v>
      </c>
      <c r="F294" s="78" t="s">
        <v>17</v>
      </c>
      <c r="G294" s="27">
        <v>45658</v>
      </c>
      <c r="H294" s="60">
        <v>283.63</v>
      </c>
      <c r="I294" s="52">
        <f t="shared" ref="I294:I298" si="73">4311*2</f>
        <v>8622</v>
      </c>
      <c r="J294" s="61"/>
      <c r="K294" s="62">
        <f>+H294*45</f>
        <v>12763.35</v>
      </c>
      <c r="L294" s="62">
        <f>+H294*20*0.25</f>
        <v>1418.15</v>
      </c>
      <c r="M294" s="60">
        <v>0</v>
      </c>
      <c r="N294" s="61"/>
      <c r="O294" s="60">
        <f t="shared" ref="O294:O298" si="74">73*2</f>
        <v>146</v>
      </c>
      <c r="P294" s="61"/>
      <c r="Q294" s="63">
        <f t="shared" ref="Q294:Q295" si="75">+I294+M294-O294</f>
        <v>8476</v>
      </c>
      <c r="R294" s="94">
        <f t="shared" ref="R294:R298" si="76">+Q294/2</f>
        <v>4238</v>
      </c>
    </row>
    <row r="295" spans="1:18" s="25" customFormat="1" ht="60" customHeight="1" x14ac:dyDescent="0.25">
      <c r="A295" s="201">
        <v>228</v>
      </c>
      <c r="B295" s="65" t="s">
        <v>261</v>
      </c>
      <c r="C295" s="65" t="s">
        <v>262</v>
      </c>
      <c r="D295" s="65" t="s">
        <v>263</v>
      </c>
      <c r="E295" s="65" t="s">
        <v>494</v>
      </c>
      <c r="F295" s="78" t="s">
        <v>17</v>
      </c>
      <c r="G295" s="27">
        <v>45566</v>
      </c>
      <c r="H295" s="60">
        <v>283.63</v>
      </c>
      <c r="I295" s="52">
        <f t="shared" si="73"/>
        <v>8622</v>
      </c>
      <c r="J295" s="61"/>
      <c r="K295" s="62">
        <f t="shared" ref="K295:K298" si="77">+H295*45</f>
        <v>12763.35</v>
      </c>
      <c r="L295" s="62">
        <f t="shared" ref="L295:L298" si="78">+H295*20*0.25</f>
        <v>1418.15</v>
      </c>
      <c r="M295" s="60">
        <v>0</v>
      </c>
      <c r="N295" s="61"/>
      <c r="O295" s="60">
        <f t="shared" si="74"/>
        <v>146</v>
      </c>
      <c r="P295" s="61"/>
      <c r="Q295" s="63">
        <f t="shared" si="75"/>
        <v>8476</v>
      </c>
      <c r="R295" s="94">
        <f t="shared" si="76"/>
        <v>4238</v>
      </c>
    </row>
    <row r="296" spans="1:18" s="25" customFormat="1" ht="60" customHeight="1" x14ac:dyDescent="0.25">
      <c r="A296" s="201">
        <v>238</v>
      </c>
      <c r="B296" s="65" t="s">
        <v>498</v>
      </c>
      <c r="C296" s="65" t="s">
        <v>499</v>
      </c>
      <c r="D296" s="65" t="s">
        <v>500</v>
      </c>
      <c r="E296" s="65" t="s">
        <v>501</v>
      </c>
      <c r="F296" s="78" t="s">
        <v>16</v>
      </c>
      <c r="G296" s="27">
        <v>45658</v>
      </c>
      <c r="H296" s="60">
        <v>357.39</v>
      </c>
      <c r="I296" s="52">
        <f>5432*2</f>
        <v>10864</v>
      </c>
      <c r="J296" s="61"/>
      <c r="K296" s="62">
        <f t="shared" si="77"/>
        <v>16082.55</v>
      </c>
      <c r="L296" s="62">
        <f t="shared" si="78"/>
        <v>1786.9499999999998</v>
      </c>
      <c r="M296" s="60">
        <v>0</v>
      </c>
      <c r="N296" s="61"/>
      <c r="O296" s="60">
        <f>432*2</f>
        <v>864</v>
      </c>
      <c r="P296" s="61"/>
      <c r="Q296" s="63">
        <f t="shared" ref="Q296" si="79">+I296+M296-O296</f>
        <v>10000</v>
      </c>
      <c r="R296" s="94">
        <f t="shared" si="76"/>
        <v>5000</v>
      </c>
    </row>
    <row r="297" spans="1:18" s="25" customFormat="1" ht="60" customHeight="1" x14ac:dyDescent="0.25">
      <c r="A297" s="201">
        <v>249</v>
      </c>
      <c r="B297" s="65" t="s">
        <v>503</v>
      </c>
      <c r="C297" s="65" t="s">
        <v>504</v>
      </c>
      <c r="D297" s="65" t="s">
        <v>505</v>
      </c>
      <c r="E297" s="65" t="s">
        <v>446</v>
      </c>
      <c r="F297" s="78" t="s">
        <v>16</v>
      </c>
      <c r="G297" s="27">
        <v>45839</v>
      </c>
      <c r="H297" s="60">
        <v>357.39</v>
      </c>
      <c r="I297" s="52">
        <f>5432*2</f>
        <v>10864</v>
      </c>
      <c r="J297" s="61"/>
      <c r="K297" s="62">
        <f t="shared" si="77"/>
        <v>16082.55</v>
      </c>
      <c r="L297" s="62">
        <f t="shared" si="78"/>
        <v>1786.9499999999998</v>
      </c>
      <c r="M297" s="60">
        <v>0</v>
      </c>
      <c r="N297" s="61"/>
      <c r="O297" s="60">
        <f>432*2</f>
        <v>864</v>
      </c>
      <c r="P297" s="61"/>
      <c r="Q297" s="63">
        <f t="shared" ref="Q297" si="80">+I297+M297-O297</f>
        <v>10000</v>
      </c>
      <c r="R297" s="94">
        <f t="shared" si="76"/>
        <v>5000</v>
      </c>
    </row>
    <row r="298" spans="1:18" s="25" customFormat="1" ht="60" customHeight="1" thickBot="1" x14ac:dyDescent="0.3">
      <c r="A298" s="202"/>
      <c r="B298" s="203" t="s">
        <v>177</v>
      </c>
      <c r="C298" s="203"/>
      <c r="D298" s="203"/>
      <c r="E298" s="203" t="s">
        <v>56</v>
      </c>
      <c r="F298" s="204" t="s">
        <v>16</v>
      </c>
      <c r="G298" s="205"/>
      <c r="H298" s="90">
        <v>283.63</v>
      </c>
      <c r="I298" s="143">
        <f t="shared" si="73"/>
        <v>8622</v>
      </c>
      <c r="J298" s="92"/>
      <c r="K298" s="91">
        <f t="shared" si="77"/>
        <v>12763.35</v>
      </c>
      <c r="L298" s="91">
        <f t="shared" si="78"/>
        <v>1418.15</v>
      </c>
      <c r="M298" s="90">
        <v>0</v>
      </c>
      <c r="N298" s="92"/>
      <c r="O298" s="90">
        <f t="shared" si="74"/>
        <v>146</v>
      </c>
      <c r="P298" s="92"/>
      <c r="Q298" s="93">
        <f t="shared" ref="Q298" si="81">+I298+M298-O298</f>
        <v>8476</v>
      </c>
      <c r="R298" s="95">
        <f t="shared" si="76"/>
        <v>4238</v>
      </c>
    </row>
    <row r="299" spans="1:18" s="6" customFormat="1" ht="30" customHeight="1" thickBot="1" x14ac:dyDescent="0.3">
      <c r="A299" s="7"/>
      <c r="B299" s="55" t="s">
        <v>19</v>
      </c>
      <c r="C299" s="55"/>
      <c r="D299" s="55"/>
      <c r="E299" s="56"/>
      <c r="F299" s="4"/>
      <c r="G299" s="7"/>
      <c r="H299" s="4"/>
      <c r="I299" s="4"/>
      <c r="J299" s="4"/>
      <c r="K299" s="4"/>
      <c r="L299" s="4"/>
      <c r="M299" s="13"/>
      <c r="N299" s="13"/>
      <c r="O299" s="13"/>
      <c r="P299" s="13"/>
      <c r="Q299" s="13"/>
      <c r="R299" s="130"/>
    </row>
    <row r="300" spans="1:18" s="6" customFormat="1" ht="30" customHeight="1" thickBot="1" x14ac:dyDescent="0.3">
      <c r="A300" s="7"/>
      <c r="B300" s="55" t="s">
        <v>20</v>
      </c>
      <c r="C300" s="55"/>
      <c r="D300" s="55"/>
      <c r="E300" s="56"/>
      <c r="F300" s="218" t="s">
        <v>18</v>
      </c>
      <c r="G300" s="219"/>
      <c r="H300" s="219"/>
      <c r="I300" s="17">
        <f>SUM(I294:I298)</f>
        <v>47594</v>
      </c>
      <c r="J300" s="17">
        <f t="shared" ref="J300:Q300" si="82">SUM(J294:J297)</f>
        <v>0</v>
      </c>
      <c r="K300" s="17">
        <f>SUM(K294:K298)</f>
        <v>70455.150000000009</v>
      </c>
      <c r="L300" s="17">
        <f>SUM(L294:L298)</f>
        <v>7828.35</v>
      </c>
      <c r="M300" s="17">
        <f t="shared" si="82"/>
        <v>0</v>
      </c>
      <c r="N300" s="17">
        <f t="shared" si="82"/>
        <v>0</v>
      </c>
      <c r="O300" s="17">
        <f t="shared" si="82"/>
        <v>2020</v>
      </c>
      <c r="P300" s="17">
        <f t="shared" si="82"/>
        <v>0</v>
      </c>
      <c r="Q300" s="33">
        <f t="shared" si="82"/>
        <v>36952</v>
      </c>
      <c r="R300" s="153">
        <f>SUM(R294:R298)</f>
        <v>22714</v>
      </c>
    </row>
    <row r="301" spans="1:18" ht="30" customHeight="1" thickBot="1" x14ac:dyDescent="0.3">
      <c r="A301" s="9"/>
      <c r="B301" s="55" t="s">
        <v>21</v>
      </c>
      <c r="C301" s="55"/>
      <c r="D301" s="55"/>
      <c r="E301" s="55"/>
      <c r="F301" s="275" t="s">
        <v>445</v>
      </c>
      <c r="G301" s="276"/>
      <c r="H301" s="276"/>
      <c r="I301" s="161">
        <f>+I300*12</f>
        <v>571128</v>
      </c>
      <c r="J301" s="159">
        <f t="shared" ref="J301:R301" si="83">+J300*12</f>
        <v>0</v>
      </c>
      <c r="K301" s="161">
        <f>+K300</f>
        <v>70455.150000000009</v>
      </c>
      <c r="L301" s="159">
        <f>+L300</f>
        <v>7828.35</v>
      </c>
      <c r="M301" s="161">
        <f t="shared" si="83"/>
        <v>0</v>
      </c>
      <c r="N301" s="159">
        <f t="shared" si="83"/>
        <v>0</v>
      </c>
      <c r="O301" s="161">
        <f t="shared" si="83"/>
        <v>24240</v>
      </c>
      <c r="P301" s="159">
        <f t="shared" si="83"/>
        <v>0</v>
      </c>
      <c r="Q301" s="161">
        <f t="shared" si="83"/>
        <v>443424</v>
      </c>
      <c r="R301" s="166">
        <f t="shared" si="83"/>
        <v>272568</v>
      </c>
    </row>
    <row r="302" spans="1:18" ht="30" customHeight="1" x14ac:dyDescent="0.25">
      <c r="A302" s="9"/>
      <c r="B302" s="55" t="s">
        <v>22</v>
      </c>
      <c r="C302" s="55"/>
      <c r="D302" s="55"/>
      <c r="E302" s="55"/>
      <c r="F302" s="58"/>
      <c r="G302" s="10"/>
      <c r="H302" s="58"/>
      <c r="I302" s="59"/>
      <c r="J302" s="59"/>
      <c r="K302" s="59"/>
      <c r="L302" s="59"/>
      <c r="M302" s="59"/>
      <c r="N302" s="59"/>
      <c r="O302" s="59"/>
      <c r="P302" s="59"/>
      <c r="Q302" s="59"/>
      <c r="R302" s="130"/>
    </row>
    <row r="303" spans="1:18" ht="30" customHeight="1" x14ac:dyDescent="0.25">
      <c r="A303" s="9"/>
      <c r="B303" s="55" t="s">
        <v>23</v>
      </c>
      <c r="C303" s="55"/>
      <c r="D303" s="55"/>
      <c r="E303" s="55"/>
      <c r="F303" s="58"/>
      <c r="G303" s="10"/>
      <c r="H303" s="58"/>
      <c r="I303" s="59"/>
      <c r="J303" s="59"/>
      <c r="K303" s="59"/>
      <c r="L303" s="59"/>
      <c r="M303" s="59"/>
      <c r="N303" s="59"/>
      <c r="O303" s="59"/>
      <c r="P303" s="59"/>
      <c r="Q303" s="59"/>
      <c r="R303" s="130"/>
    </row>
    <row r="304" spans="1:18" ht="30" customHeight="1" x14ac:dyDescent="0.25">
      <c r="A304" s="9"/>
      <c r="B304" s="55" t="s">
        <v>549</v>
      </c>
      <c r="C304" s="55"/>
      <c r="D304" s="55"/>
      <c r="E304" s="55"/>
      <c r="F304" s="58"/>
      <c r="G304" s="10"/>
      <c r="H304" s="58"/>
      <c r="I304" s="59"/>
      <c r="J304" s="59"/>
      <c r="K304" s="59"/>
      <c r="L304" s="59"/>
      <c r="M304" s="59"/>
      <c r="N304" s="59"/>
      <c r="O304" s="59"/>
      <c r="P304" s="59"/>
      <c r="Q304" s="59"/>
      <c r="R304" s="130"/>
    </row>
    <row r="305" spans="1:31" ht="30" customHeight="1" x14ac:dyDescent="0.25">
      <c r="A305" s="9"/>
      <c r="B305" s="55"/>
      <c r="C305" s="55"/>
      <c r="D305" s="55"/>
      <c r="E305" s="55"/>
      <c r="F305" s="58"/>
      <c r="G305" s="10"/>
      <c r="H305" s="58"/>
      <c r="I305" s="59"/>
      <c r="J305" s="59"/>
      <c r="K305" s="59"/>
      <c r="L305" s="59"/>
      <c r="M305" s="59"/>
      <c r="N305" s="59"/>
      <c r="O305" s="59"/>
      <c r="P305" s="59"/>
      <c r="Q305" s="59"/>
      <c r="R305" s="130"/>
    </row>
    <row r="306" spans="1:31" s="18" customFormat="1" ht="30" customHeight="1" x14ac:dyDescent="0.25">
      <c r="A306" s="220" t="s">
        <v>32</v>
      </c>
      <c r="B306" s="220"/>
      <c r="C306" s="220"/>
      <c r="D306" s="220"/>
      <c r="E306" s="220"/>
      <c r="F306" s="220"/>
      <c r="G306" s="220"/>
      <c r="H306" s="220"/>
      <c r="I306" s="220"/>
      <c r="J306" s="220"/>
      <c r="K306" s="220"/>
      <c r="L306" s="220"/>
      <c r="M306" s="220"/>
      <c r="N306" s="220"/>
      <c r="O306" s="220"/>
      <c r="P306" s="220"/>
      <c r="Q306" s="220"/>
      <c r="R306" s="130"/>
    </row>
    <row r="307" spans="1:31" s="18" customFormat="1" ht="30" customHeight="1" x14ac:dyDescent="0.25">
      <c r="A307" s="221" t="s">
        <v>0</v>
      </c>
      <c r="B307" s="221"/>
      <c r="C307" s="221"/>
      <c r="D307" s="221"/>
      <c r="E307" s="221"/>
      <c r="F307" s="221"/>
      <c r="G307" s="221"/>
      <c r="H307" s="221"/>
      <c r="I307" s="221"/>
      <c r="J307" s="221"/>
      <c r="K307" s="221"/>
      <c r="L307" s="221"/>
      <c r="M307" s="221"/>
      <c r="N307" s="221"/>
      <c r="O307" s="221"/>
      <c r="P307" s="221"/>
      <c r="Q307" s="221"/>
      <c r="R307" s="130"/>
    </row>
    <row r="308" spans="1:31" ht="30" customHeight="1" thickBot="1" x14ac:dyDescent="0.3">
      <c r="A308" s="221" t="s">
        <v>453</v>
      </c>
      <c r="B308" s="221"/>
      <c r="C308" s="221"/>
      <c r="D308" s="221"/>
      <c r="E308" s="221"/>
      <c r="F308" s="221"/>
      <c r="G308" s="221"/>
      <c r="H308" s="221"/>
      <c r="I308" s="221"/>
      <c r="J308" s="221"/>
      <c r="K308" s="221"/>
      <c r="L308" s="221"/>
      <c r="M308" s="221"/>
      <c r="N308" s="221"/>
      <c r="O308" s="221"/>
      <c r="P308" s="221"/>
      <c r="Q308" s="221"/>
      <c r="R308" s="130"/>
    </row>
    <row r="309" spans="1:31" s="5" customFormat="1" ht="24.95" customHeight="1" x14ac:dyDescent="0.25">
      <c r="A309" s="109"/>
      <c r="B309" s="209" t="s">
        <v>71</v>
      </c>
      <c r="C309" s="210"/>
      <c r="D309" s="210"/>
      <c r="E309" s="210"/>
      <c r="F309" s="210"/>
      <c r="G309" s="210"/>
      <c r="H309" s="210"/>
      <c r="I309" s="210"/>
      <c r="J309" s="210"/>
      <c r="K309" s="210"/>
      <c r="L309" s="210"/>
      <c r="M309" s="210"/>
      <c r="N309" s="210"/>
      <c r="O309" s="210"/>
      <c r="P309" s="210"/>
      <c r="Q309" s="210"/>
      <c r="R309" s="211"/>
    </row>
    <row r="310" spans="1:31" s="5" customFormat="1" ht="24.95" customHeight="1" thickBot="1" x14ac:dyDescent="0.3">
      <c r="A310" s="110"/>
      <c r="B310" s="212"/>
      <c r="C310" s="213"/>
      <c r="D310" s="213"/>
      <c r="E310" s="213"/>
      <c r="F310" s="213"/>
      <c r="G310" s="213"/>
      <c r="H310" s="213"/>
      <c r="I310" s="213"/>
      <c r="J310" s="213"/>
      <c r="K310" s="213"/>
      <c r="L310" s="213"/>
      <c r="M310" s="213"/>
      <c r="N310" s="213"/>
      <c r="O310" s="213"/>
      <c r="P310" s="213"/>
      <c r="Q310" s="213"/>
      <c r="R310" s="214"/>
    </row>
    <row r="311" spans="1:31" s="25" customFormat="1" ht="27.95" customHeight="1" x14ac:dyDescent="0.25">
      <c r="A311" s="237"/>
      <c r="B311" s="259" t="s">
        <v>2</v>
      </c>
      <c r="C311" s="267" t="s">
        <v>178</v>
      </c>
      <c r="D311" s="267" t="s">
        <v>179</v>
      </c>
      <c r="E311" s="259" t="s">
        <v>3</v>
      </c>
      <c r="F311" s="256" t="s">
        <v>4</v>
      </c>
      <c r="G311" s="260" t="s">
        <v>5</v>
      </c>
      <c r="H311" s="256" t="s">
        <v>6</v>
      </c>
      <c r="I311" s="256" t="s">
        <v>7</v>
      </c>
      <c r="J311" s="256" t="s">
        <v>8</v>
      </c>
      <c r="K311" s="256" t="s">
        <v>9</v>
      </c>
      <c r="L311" s="256" t="s">
        <v>10</v>
      </c>
      <c r="M311" s="256" t="s">
        <v>11</v>
      </c>
      <c r="N311" s="256" t="s">
        <v>12</v>
      </c>
      <c r="O311" s="256" t="s">
        <v>13</v>
      </c>
      <c r="P311" s="256" t="s">
        <v>14</v>
      </c>
      <c r="Q311" s="266" t="s">
        <v>15</v>
      </c>
      <c r="R311" s="230" t="s">
        <v>140</v>
      </c>
    </row>
    <row r="312" spans="1:31" s="25" customFormat="1" ht="27.95" customHeight="1" thickBot="1" x14ac:dyDescent="0.3">
      <c r="A312" s="238"/>
      <c r="B312" s="242"/>
      <c r="C312" s="270"/>
      <c r="D312" s="270"/>
      <c r="E312" s="263"/>
      <c r="F312" s="264"/>
      <c r="G312" s="265"/>
      <c r="H312" s="228"/>
      <c r="I312" s="228"/>
      <c r="J312" s="228"/>
      <c r="K312" s="228"/>
      <c r="L312" s="228"/>
      <c r="M312" s="228"/>
      <c r="N312" s="229"/>
      <c r="O312" s="229"/>
      <c r="P312" s="228"/>
      <c r="Q312" s="235"/>
      <c r="R312" s="231"/>
    </row>
    <row r="313" spans="1:31" s="25" customFormat="1" ht="60" customHeight="1" x14ac:dyDescent="0.25">
      <c r="A313" s="31">
        <v>9</v>
      </c>
      <c r="B313" s="125" t="s">
        <v>57</v>
      </c>
      <c r="C313" s="99" t="s">
        <v>311</v>
      </c>
      <c r="D313" s="99" t="s">
        <v>310</v>
      </c>
      <c r="E313" s="119" t="s">
        <v>170</v>
      </c>
      <c r="F313" s="78" t="s">
        <v>35</v>
      </c>
      <c r="G313" s="122">
        <v>32540</v>
      </c>
      <c r="H313" s="60">
        <v>283.63</v>
      </c>
      <c r="I313" s="52">
        <f t="shared" ref="I313:I322" si="84">4311*2</f>
        <v>8622</v>
      </c>
      <c r="J313" s="61"/>
      <c r="K313" s="62">
        <f t="shared" ref="K313:K317" si="85">+H313*65</f>
        <v>18435.95</v>
      </c>
      <c r="L313" s="62">
        <f t="shared" ref="L313:L317" si="86">+H313*26*0.42</f>
        <v>3097.2395999999999</v>
      </c>
      <c r="M313" s="60">
        <v>0</v>
      </c>
      <c r="N313" s="61"/>
      <c r="O313" s="60">
        <f t="shared" ref="O313:O322" si="87">73*2</f>
        <v>146</v>
      </c>
      <c r="P313" s="61"/>
      <c r="Q313" s="63">
        <f t="shared" ref="Q313:Q322" si="88">+I313+M313-O313</f>
        <v>8476</v>
      </c>
      <c r="R313" s="162">
        <f t="shared" ref="R313:R322" si="89">+Q313/2</f>
        <v>4238</v>
      </c>
    </row>
    <row r="314" spans="1:31" s="25" customFormat="1" ht="60" customHeight="1" x14ac:dyDescent="0.25">
      <c r="A314" s="26">
        <v>10</v>
      </c>
      <c r="B314" s="124" t="s">
        <v>58</v>
      </c>
      <c r="C314" s="99" t="s">
        <v>309</v>
      </c>
      <c r="D314" s="99" t="s">
        <v>308</v>
      </c>
      <c r="E314" s="119" t="s">
        <v>170</v>
      </c>
      <c r="F314" s="78" t="s">
        <v>35</v>
      </c>
      <c r="G314" s="122">
        <v>33256</v>
      </c>
      <c r="H314" s="60">
        <v>283.63</v>
      </c>
      <c r="I314" s="52">
        <f t="shared" si="84"/>
        <v>8622</v>
      </c>
      <c r="J314" s="61"/>
      <c r="K314" s="62">
        <f t="shared" si="85"/>
        <v>18435.95</v>
      </c>
      <c r="L314" s="62">
        <f t="shared" si="86"/>
        <v>3097.2395999999999</v>
      </c>
      <c r="M314" s="60">
        <v>0</v>
      </c>
      <c r="N314" s="61"/>
      <c r="O314" s="60">
        <f t="shared" si="87"/>
        <v>146</v>
      </c>
      <c r="P314" s="61"/>
      <c r="Q314" s="63">
        <f t="shared" si="88"/>
        <v>8476</v>
      </c>
      <c r="R314" s="101">
        <f t="shared" si="89"/>
        <v>4238</v>
      </c>
    </row>
    <row r="315" spans="1:31" s="25" customFormat="1" ht="60" customHeight="1" x14ac:dyDescent="0.25">
      <c r="A315" s="26">
        <v>17</v>
      </c>
      <c r="B315" s="124" t="s">
        <v>59</v>
      </c>
      <c r="C315" s="99" t="s">
        <v>307</v>
      </c>
      <c r="D315" s="99" t="s">
        <v>306</v>
      </c>
      <c r="E315" s="119" t="s">
        <v>170</v>
      </c>
      <c r="F315" s="78" t="s">
        <v>35</v>
      </c>
      <c r="G315" s="122">
        <v>34213</v>
      </c>
      <c r="H315" s="60">
        <v>283.63</v>
      </c>
      <c r="I315" s="52">
        <f t="shared" si="84"/>
        <v>8622</v>
      </c>
      <c r="J315" s="61"/>
      <c r="K315" s="62">
        <f t="shared" si="85"/>
        <v>18435.95</v>
      </c>
      <c r="L315" s="62">
        <f t="shared" si="86"/>
        <v>3097.2395999999999</v>
      </c>
      <c r="M315" s="60">
        <v>0</v>
      </c>
      <c r="N315" s="61"/>
      <c r="O315" s="60">
        <f t="shared" si="87"/>
        <v>146</v>
      </c>
      <c r="P315" s="61"/>
      <c r="Q315" s="63">
        <f t="shared" si="88"/>
        <v>8476</v>
      </c>
      <c r="R315" s="101">
        <f t="shared" si="89"/>
        <v>4238</v>
      </c>
    </row>
    <row r="316" spans="1:31" s="25" customFormat="1" ht="60" customHeight="1" x14ac:dyDescent="0.25">
      <c r="A316" s="26">
        <v>18</v>
      </c>
      <c r="B316" s="124" t="s">
        <v>60</v>
      </c>
      <c r="C316" s="99" t="s">
        <v>305</v>
      </c>
      <c r="D316" s="99" t="s">
        <v>304</v>
      </c>
      <c r="E316" s="119" t="s">
        <v>62</v>
      </c>
      <c r="F316" s="78" t="s">
        <v>35</v>
      </c>
      <c r="G316" s="122">
        <v>36220</v>
      </c>
      <c r="H316" s="60">
        <v>283.63</v>
      </c>
      <c r="I316" s="52">
        <f t="shared" si="84"/>
        <v>8622</v>
      </c>
      <c r="J316" s="61"/>
      <c r="K316" s="62">
        <f t="shared" si="85"/>
        <v>18435.95</v>
      </c>
      <c r="L316" s="62">
        <f t="shared" si="86"/>
        <v>3097.2395999999999</v>
      </c>
      <c r="M316" s="60">
        <v>0</v>
      </c>
      <c r="N316" s="61"/>
      <c r="O316" s="60">
        <f t="shared" si="87"/>
        <v>146</v>
      </c>
      <c r="P316" s="61"/>
      <c r="Q316" s="63">
        <f t="shared" si="88"/>
        <v>8476</v>
      </c>
      <c r="R316" s="101">
        <f t="shared" si="89"/>
        <v>4238</v>
      </c>
    </row>
    <row r="317" spans="1:31" s="25" customFormat="1" ht="60" customHeight="1" x14ac:dyDescent="0.25">
      <c r="A317" s="26">
        <v>19</v>
      </c>
      <c r="B317" s="124" t="s">
        <v>61</v>
      </c>
      <c r="C317" s="99" t="s">
        <v>303</v>
      </c>
      <c r="D317" s="99" t="s">
        <v>302</v>
      </c>
      <c r="E317" s="119" t="s">
        <v>170</v>
      </c>
      <c r="F317" s="76" t="s">
        <v>35</v>
      </c>
      <c r="G317" s="122">
        <v>40544</v>
      </c>
      <c r="H317" s="60">
        <v>283.63</v>
      </c>
      <c r="I317" s="52">
        <f t="shared" si="84"/>
        <v>8622</v>
      </c>
      <c r="J317" s="61"/>
      <c r="K317" s="62">
        <f t="shared" si="85"/>
        <v>18435.95</v>
      </c>
      <c r="L317" s="62">
        <f t="shared" si="86"/>
        <v>3097.2395999999999</v>
      </c>
      <c r="M317" s="60">
        <v>0</v>
      </c>
      <c r="N317" s="61"/>
      <c r="O317" s="60">
        <f t="shared" si="87"/>
        <v>146</v>
      </c>
      <c r="P317" s="61"/>
      <c r="Q317" s="63">
        <f t="shared" si="88"/>
        <v>8476</v>
      </c>
      <c r="R317" s="101">
        <f t="shared" si="89"/>
        <v>4238</v>
      </c>
    </row>
    <row r="318" spans="1:31" s="39" customFormat="1" ht="60" customHeight="1" x14ac:dyDescent="0.25">
      <c r="A318" s="26">
        <v>224</v>
      </c>
      <c r="B318" s="124" t="s">
        <v>161</v>
      </c>
      <c r="C318" s="99" t="s">
        <v>301</v>
      </c>
      <c r="D318" s="99" t="s">
        <v>300</v>
      </c>
      <c r="E318" s="119" t="s">
        <v>122</v>
      </c>
      <c r="F318" s="76" t="s">
        <v>17</v>
      </c>
      <c r="G318" s="122">
        <v>45551</v>
      </c>
      <c r="H318" s="60">
        <v>283.63</v>
      </c>
      <c r="I318" s="52">
        <f t="shared" si="84"/>
        <v>8622</v>
      </c>
      <c r="J318" s="61"/>
      <c r="K318" s="62">
        <f>+H318*45</f>
        <v>12763.35</v>
      </c>
      <c r="L318" s="62">
        <f>+H318*20*0.25</f>
        <v>1418.15</v>
      </c>
      <c r="M318" s="60">
        <v>0</v>
      </c>
      <c r="N318" s="61"/>
      <c r="O318" s="60">
        <f t="shared" si="87"/>
        <v>146</v>
      </c>
      <c r="P318" s="61"/>
      <c r="Q318" s="63">
        <f t="shared" si="88"/>
        <v>8476</v>
      </c>
      <c r="R318" s="101">
        <f t="shared" si="89"/>
        <v>4238</v>
      </c>
      <c r="S318" s="293"/>
      <c r="T318" s="293"/>
      <c r="U318" s="293"/>
      <c r="V318" s="293"/>
      <c r="W318" s="293"/>
      <c r="X318" s="293"/>
      <c r="Y318" s="293"/>
      <c r="Z318" s="293"/>
      <c r="AA318" s="293"/>
      <c r="AB318" s="293"/>
      <c r="AC318" s="293"/>
      <c r="AD318" s="293"/>
      <c r="AE318" s="293"/>
    </row>
    <row r="319" spans="1:31" s="25" customFormat="1" ht="60" customHeight="1" x14ac:dyDescent="0.25">
      <c r="A319" s="26">
        <v>219</v>
      </c>
      <c r="B319" s="124" t="s">
        <v>171</v>
      </c>
      <c r="C319" s="99" t="s">
        <v>299</v>
      </c>
      <c r="D319" s="99" t="s">
        <v>298</v>
      </c>
      <c r="E319" s="119" t="s">
        <v>146</v>
      </c>
      <c r="F319" s="76" t="s">
        <v>17</v>
      </c>
      <c r="G319" s="122">
        <v>45536</v>
      </c>
      <c r="H319" s="60">
        <v>283.63</v>
      </c>
      <c r="I319" s="52">
        <f t="shared" si="84"/>
        <v>8622</v>
      </c>
      <c r="J319" s="61"/>
      <c r="K319" s="62">
        <f t="shared" ref="K319:K322" si="90">+H319*45</f>
        <v>12763.35</v>
      </c>
      <c r="L319" s="62">
        <f t="shared" ref="L319:L322" si="91">+H319*20*0.25</f>
        <v>1418.15</v>
      </c>
      <c r="M319" s="60">
        <v>0</v>
      </c>
      <c r="N319" s="61"/>
      <c r="O319" s="60">
        <f t="shared" si="87"/>
        <v>146</v>
      </c>
      <c r="P319" s="61"/>
      <c r="Q319" s="63">
        <f t="shared" si="88"/>
        <v>8476</v>
      </c>
      <c r="R319" s="101">
        <f t="shared" si="89"/>
        <v>4238</v>
      </c>
    </row>
    <row r="320" spans="1:31" s="25" customFormat="1" ht="60" customHeight="1" x14ac:dyDescent="0.25">
      <c r="A320" s="26">
        <v>225</v>
      </c>
      <c r="B320" s="4" t="s">
        <v>162</v>
      </c>
      <c r="C320" s="99" t="s">
        <v>297</v>
      </c>
      <c r="D320" s="99" t="s">
        <v>296</v>
      </c>
      <c r="E320" s="119" t="s">
        <v>146</v>
      </c>
      <c r="F320" s="78" t="s">
        <v>17</v>
      </c>
      <c r="G320" s="122">
        <v>45551</v>
      </c>
      <c r="H320" s="60">
        <v>283.63</v>
      </c>
      <c r="I320" s="52">
        <f t="shared" si="84"/>
        <v>8622</v>
      </c>
      <c r="J320" s="61"/>
      <c r="K320" s="62">
        <f t="shared" si="90"/>
        <v>12763.35</v>
      </c>
      <c r="L320" s="62">
        <f t="shared" si="91"/>
        <v>1418.15</v>
      </c>
      <c r="M320" s="60">
        <v>0</v>
      </c>
      <c r="N320" s="61"/>
      <c r="O320" s="60">
        <f t="shared" si="87"/>
        <v>146</v>
      </c>
      <c r="P320" s="61"/>
      <c r="Q320" s="63">
        <f t="shared" si="88"/>
        <v>8476</v>
      </c>
      <c r="R320" s="101">
        <f t="shared" si="89"/>
        <v>4238</v>
      </c>
    </row>
    <row r="321" spans="1:18" s="25" customFormat="1" ht="60" customHeight="1" x14ac:dyDescent="0.25">
      <c r="A321" s="26">
        <v>220</v>
      </c>
      <c r="B321" s="124" t="s">
        <v>121</v>
      </c>
      <c r="C321" s="99" t="s">
        <v>295</v>
      </c>
      <c r="D321" s="99" t="s">
        <v>294</v>
      </c>
      <c r="E321" s="119" t="s">
        <v>63</v>
      </c>
      <c r="F321" s="78" t="s">
        <v>16</v>
      </c>
      <c r="G321" s="122">
        <v>45536</v>
      </c>
      <c r="H321" s="60">
        <v>283.63</v>
      </c>
      <c r="I321" s="52">
        <f t="shared" si="84"/>
        <v>8622</v>
      </c>
      <c r="J321" s="61"/>
      <c r="K321" s="62">
        <f t="shared" si="90"/>
        <v>12763.35</v>
      </c>
      <c r="L321" s="62">
        <f t="shared" si="91"/>
        <v>1418.15</v>
      </c>
      <c r="M321" s="60">
        <v>0</v>
      </c>
      <c r="N321" s="61"/>
      <c r="O321" s="60">
        <f t="shared" si="87"/>
        <v>146</v>
      </c>
      <c r="P321" s="61"/>
      <c r="Q321" s="63">
        <f t="shared" si="88"/>
        <v>8476</v>
      </c>
      <c r="R321" s="101">
        <f t="shared" si="89"/>
        <v>4238</v>
      </c>
    </row>
    <row r="322" spans="1:18" s="25" customFormat="1" ht="60" customHeight="1" x14ac:dyDescent="0.25">
      <c r="A322" s="26">
        <v>221</v>
      </c>
      <c r="B322" s="124" t="s">
        <v>153</v>
      </c>
      <c r="C322" s="99" t="s">
        <v>293</v>
      </c>
      <c r="D322" s="99" t="s">
        <v>292</v>
      </c>
      <c r="E322" s="119" t="s">
        <v>170</v>
      </c>
      <c r="F322" s="78" t="s">
        <v>17</v>
      </c>
      <c r="G322" s="122">
        <v>45536</v>
      </c>
      <c r="H322" s="60">
        <v>283.63</v>
      </c>
      <c r="I322" s="52">
        <f t="shared" si="84"/>
        <v>8622</v>
      </c>
      <c r="J322" s="61"/>
      <c r="K322" s="62">
        <f t="shared" si="90"/>
        <v>12763.35</v>
      </c>
      <c r="L322" s="62">
        <f t="shared" si="91"/>
        <v>1418.15</v>
      </c>
      <c r="M322" s="60">
        <v>0</v>
      </c>
      <c r="N322" s="61"/>
      <c r="O322" s="60">
        <f t="shared" si="87"/>
        <v>146</v>
      </c>
      <c r="P322" s="61"/>
      <c r="Q322" s="63">
        <f t="shared" si="88"/>
        <v>8476</v>
      </c>
      <c r="R322" s="101">
        <f t="shared" si="89"/>
        <v>4238</v>
      </c>
    </row>
    <row r="323" spans="1:18" s="6" customFormat="1" ht="30" customHeight="1" thickBot="1" x14ac:dyDescent="0.3">
      <c r="A323" s="7"/>
      <c r="B323" s="55" t="s">
        <v>19</v>
      </c>
      <c r="C323" s="55"/>
      <c r="D323" s="55"/>
      <c r="E323" s="56"/>
      <c r="F323" s="4"/>
      <c r="G323" s="7"/>
      <c r="H323" s="4"/>
      <c r="I323" s="4"/>
      <c r="J323" s="4"/>
      <c r="K323" s="4"/>
      <c r="L323" s="4"/>
      <c r="M323" s="13"/>
      <c r="N323" s="13"/>
      <c r="O323" s="13"/>
      <c r="P323" s="13"/>
      <c r="Q323" s="13"/>
      <c r="R323" s="130"/>
    </row>
    <row r="324" spans="1:18" s="6" customFormat="1" ht="30" customHeight="1" thickBot="1" x14ac:dyDescent="0.3">
      <c r="A324" s="7"/>
      <c r="B324" s="55" t="s">
        <v>20</v>
      </c>
      <c r="C324" s="55"/>
      <c r="D324" s="55"/>
      <c r="E324" s="56"/>
      <c r="F324" s="218" t="s">
        <v>18</v>
      </c>
      <c r="G324" s="219"/>
      <c r="H324" s="219"/>
      <c r="I324" s="17">
        <f>SUM(I313:I322)</f>
        <v>86220</v>
      </c>
      <c r="J324" s="17">
        <f t="shared" ref="J324:R324" si="92">SUM(J313:J322)</f>
        <v>0</v>
      </c>
      <c r="K324" s="17">
        <f t="shared" si="92"/>
        <v>155996.50000000003</v>
      </c>
      <c r="L324" s="17">
        <f t="shared" si="92"/>
        <v>22576.948000000008</v>
      </c>
      <c r="M324" s="17">
        <f t="shared" si="92"/>
        <v>0</v>
      </c>
      <c r="N324" s="17">
        <f t="shared" si="92"/>
        <v>0</v>
      </c>
      <c r="O324" s="17">
        <f t="shared" si="92"/>
        <v>1460</v>
      </c>
      <c r="P324" s="17">
        <f t="shared" si="92"/>
        <v>0</v>
      </c>
      <c r="Q324" s="17">
        <f t="shared" si="92"/>
        <v>84760</v>
      </c>
      <c r="R324" s="17">
        <f t="shared" si="92"/>
        <v>42380</v>
      </c>
    </row>
    <row r="325" spans="1:18" ht="30" customHeight="1" thickBot="1" x14ac:dyDescent="0.3">
      <c r="A325" s="9"/>
      <c r="B325" s="55" t="s">
        <v>21</v>
      </c>
      <c r="C325" s="55"/>
      <c r="D325" s="55"/>
      <c r="E325" s="55"/>
      <c r="F325" s="275" t="s">
        <v>445</v>
      </c>
      <c r="G325" s="276"/>
      <c r="H325" s="276"/>
      <c r="I325" s="161">
        <f>I324*12</f>
        <v>1034640</v>
      </c>
      <c r="J325" s="159">
        <f t="shared" ref="J325:R325" si="93">J324*12</f>
        <v>0</v>
      </c>
      <c r="K325" s="161">
        <f>K324</f>
        <v>155996.50000000003</v>
      </c>
      <c r="L325" s="159">
        <f>L324</f>
        <v>22576.948000000008</v>
      </c>
      <c r="M325" s="161">
        <f t="shared" si="93"/>
        <v>0</v>
      </c>
      <c r="N325" s="159">
        <f t="shared" si="93"/>
        <v>0</v>
      </c>
      <c r="O325" s="161">
        <f t="shared" si="93"/>
        <v>17520</v>
      </c>
      <c r="P325" s="159">
        <f t="shared" si="93"/>
        <v>0</v>
      </c>
      <c r="Q325" s="161">
        <f t="shared" si="93"/>
        <v>1017120</v>
      </c>
      <c r="R325" s="160">
        <f t="shared" si="93"/>
        <v>508560</v>
      </c>
    </row>
    <row r="326" spans="1:18" ht="30" customHeight="1" x14ac:dyDescent="0.25">
      <c r="A326" s="9"/>
      <c r="B326" s="55" t="s">
        <v>22</v>
      </c>
      <c r="C326" s="55"/>
      <c r="D326" s="55"/>
      <c r="E326" s="55"/>
      <c r="F326" s="58"/>
      <c r="G326" s="10"/>
      <c r="H326" s="58"/>
      <c r="I326" s="59"/>
      <c r="J326" s="59"/>
      <c r="K326" s="59"/>
      <c r="L326" s="59"/>
      <c r="M326" s="59"/>
      <c r="N326" s="59"/>
      <c r="O326" s="59"/>
      <c r="P326" s="59"/>
      <c r="Q326" s="59"/>
      <c r="R326" s="37"/>
    </row>
    <row r="327" spans="1:18" ht="30" customHeight="1" x14ac:dyDescent="0.25">
      <c r="A327" s="9"/>
      <c r="B327" s="55" t="s">
        <v>23</v>
      </c>
      <c r="C327" s="55"/>
      <c r="D327" s="55"/>
      <c r="E327" s="55"/>
      <c r="F327" s="58"/>
      <c r="G327" s="10"/>
      <c r="H327" s="58"/>
      <c r="I327" s="59"/>
      <c r="J327" s="59"/>
      <c r="K327" s="59"/>
      <c r="L327" s="59"/>
      <c r="M327" s="59"/>
      <c r="N327" s="59"/>
      <c r="O327" s="59"/>
      <c r="P327" s="59"/>
      <c r="Q327" s="59"/>
      <c r="R327" s="130"/>
    </row>
    <row r="328" spans="1:18" ht="30" customHeight="1" x14ac:dyDescent="0.25">
      <c r="A328" s="9"/>
      <c r="B328" s="55" t="s">
        <v>549</v>
      </c>
      <c r="C328" s="55"/>
      <c r="D328" s="55"/>
      <c r="E328" s="55"/>
      <c r="F328" s="58"/>
      <c r="G328" s="10"/>
      <c r="H328" s="58"/>
      <c r="I328" s="59"/>
      <c r="J328" s="59"/>
      <c r="K328" s="59"/>
      <c r="L328" s="59"/>
      <c r="M328" s="59"/>
      <c r="N328" s="59"/>
      <c r="O328" s="59"/>
      <c r="P328" s="59"/>
      <c r="Q328" s="59"/>
      <c r="R328" s="130"/>
    </row>
    <row r="329" spans="1:18" ht="30" customHeight="1" x14ac:dyDescent="0.25">
      <c r="A329" s="9"/>
      <c r="B329" s="55"/>
      <c r="C329" s="55"/>
      <c r="D329" s="55"/>
      <c r="E329" s="55"/>
      <c r="F329" s="58"/>
      <c r="G329" s="10"/>
      <c r="H329" s="58"/>
      <c r="I329" s="59"/>
      <c r="J329" s="59"/>
      <c r="K329" s="59"/>
      <c r="L329" s="59"/>
      <c r="M329" s="59"/>
      <c r="N329" s="59"/>
      <c r="O329" s="59"/>
      <c r="P329" s="59"/>
      <c r="Q329" s="59"/>
      <c r="R329" s="130"/>
    </row>
    <row r="330" spans="1:18" s="18" customFormat="1" ht="30" customHeight="1" x14ac:dyDescent="0.25">
      <c r="A330" s="220" t="s">
        <v>32</v>
      </c>
      <c r="B330" s="220"/>
      <c r="C330" s="220"/>
      <c r="D330" s="220"/>
      <c r="E330" s="220"/>
      <c r="F330" s="220"/>
      <c r="G330" s="220"/>
      <c r="H330" s="220"/>
      <c r="I330" s="220"/>
      <c r="J330" s="220"/>
      <c r="K330" s="220"/>
      <c r="L330" s="220"/>
      <c r="M330" s="220"/>
      <c r="N330" s="220"/>
      <c r="O330" s="220"/>
      <c r="P330" s="220"/>
      <c r="Q330" s="220"/>
      <c r="R330" s="130"/>
    </row>
    <row r="331" spans="1:18" s="18" customFormat="1" ht="30" customHeight="1" x14ac:dyDescent="0.25">
      <c r="A331" s="221" t="s">
        <v>0</v>
      </c>
      <c r="B331" s="221"/>
      <c r="C331" s="221"/>
      <c r="D331" s="221"/>
      <c r="E331" s="221"/>
      <c r="F331" s="221"/>
      <c r="G331" s="221"/>
      <c r="H331" s="221"/>
      <c r="I331" s="221"/>
      <c r="J331" s="221"/>
      <c r="K331" s="221"/>
      <c r="L331" s="221"/>
      <c r="M331" s="221"/>
      <c r="N331" s="221"/>
      <c r="O331" s="221"/>
      <c r="P331" s="221"/>
      <c r="Q331" s="221"/>
      <c r="R331" s="130"/>
    </row>
    <row r="332" spans="1:18" ht="30" customHeight="1" thickBot="1" x14ac:dyDescent="0.3">
      <c r="A332" s="221" t="s">
        <v>453</v>
      </c>
      <c r="B332" s="221"/>
      <c r="C332" s="221"/>
      <c r="D332" s="221"/>
      <c r="E332" s="221"/>
      <c r="F332" s="221"/>
      <c r="G332" s="221"/>
      <c r="H332" s="221"/>
      <c r="I332" s="221"/>
      <c r="J332" s="221"/>
      <c r="K332" s="221"/>
      <c r="L332" s="221"/>
      <c r="M332" s="221"/>
      <c r="N332" s="221"/>
      <c r="O332" s="221"/>
      <c r="P332" s="221"/>
      <c r="Q332" s="221"/>
      <c r="R332" s="130"/>
    </row>
    <row r="333" spans="1:18" s="5" customFormat="1" ht="24.95" customHeight="1" x14ac:dyDescent="0.25">
      <c r="A333" s="109"/>
      <c r="B333" s="210" t="s">
        <v>80</v>
      </c>
      <c r="C333" s="210"/>
      <c r="D333" s="210"/>
      <c r="E333" s="210"/>
      <c r="F333" s="210"/>
      <c r="G333" s="210"/>
      <c r="H333" s="210"/>
      <c r="I333" s="2"/>
      <c r="J333" s="2"/>
      <c r="K333" s="2"/>
      <c r="L333" s="2"/>
      <c r="M333" s="3"/>
      <c r="N333" s="3"/>
      <c r="O333" s="3"/>
      <c r="P333" s="3"/>
      <c r="Q333" s="84"/>
      <c r="R333" s="131"/>
    </row>
    <row r="334" spans="1:18" s="5" customFormat="1" ht="24.95" customHeight="1" thickBot="1" x14ac:dyDescent="0.3">
      <c r="A334" s="110"/>
      <c r="B334" s="213"/>
      <c r="C334" s="213"/>
      <c r="D334" s="213"/>
      <c r="E334" s="213"/>
      <c r="F334" s="236"/>
      <c r="G334" s="236"/>
      <c r="H334" s="236"/>
      <c r="I334" s="85"/>
      <c r="J334" s="85"/>
      <c r="K334" s="85"/>
      <c r="L334" s="85"/>
      <c r="M334" s="85"/>
      <c r="N334" s="85"/>
      <c r="O334" s="85"/>
      <c r="P334" s="85"/>
      <c r="Q334" s="86"/>
      <c r="R334" s="132"/>
    </row>
    <row r="335" spans="1:18" s="25" customFormat="1" ht="27.95" customHeight="1" x14ac:dyDescent="0.25">
      <c r="A335" s="237"/>
      <c r="B335" s="239" t="s">
        <v>2</v>
      </c>
      <c r="C335" s="267" t="s">
        <v>178</v>
      </c>
      <c r="D335" s="267" t="s">
        <v>179</v>
      </c>
      <c r="E335" s="239" t="s">
        <v>3</v>
      </c>
      <c r="F335" s="227" t="s">
        <v>4</v>
      </c>
      <c r="G335" s="243" t="s">
        <v>5</v>
      </c>
      <c r="H335" s="227" t="s">
        <v>6</v>
      </c>
      <c r="I335" s="227" t="s">
        <v>7</v>
      </c>
      <c r="J335" s="227" t="s">
        <v>8</v>
      </c>
      <c r="K335" s="227" t="s">
        <v>9</v>
      </c>
      <c r="L335" s="227" t="s">
        <v>10</v>
      </c>
      <c r="M335" s="227" t="s">
        <v>11</v>
      </c>
      <c r="N335" s="227" t="s">
        <v>12</v>
      </c>
      <c r="O335" s="227" t="s">
        <v>13</v>
      </c>
      <c r="P335" s="227" t="s">
        <v>14</v>
      </c>
      <c r="Q335" s="234" t="s">
        <v>15</v>
      </c>
      <c r="R335" s="230" t="s">
        <v>140</v>
      </c>
    </row>
    <row r="336" spans="1:18" s="25" customFormat="1" ht="27.95" customHeight="1" thickBot="1" x14ac:dyDescent="0.3">
      <c r="A336" s="269"/>
      <c r="B336" s="240"/>
      <c r="C336" s="270"/>
      <c r="D336" s="270"/>
      <c r="E336" s="241"/>
      <c r="F336" s="228"/>
      <c r="G336" s="265"/>
      <c r="H336" s="228"/>
      <c r="I336" s="228"/>
      <c r="J336" s="228"/>
      <c r="K336" s="228"/>
      <c r="L336" s="228"/>
      <c r="M336" s="228"/>
      <c r="N336" s="229"/>
      <c r="O336" s="229"/>
      <c r="P336" s="228"/>
      <c r="Q336" s="235"/>
      <c r="R336" s="208"/>
    </row>
    <row r="337" spans="1:18" s="25" customFormat="1" ht="60" customHeight="1" x14ac:dyDescent="0.25">
      <c r="A337" s="99">
        <v>233</v>
      </c>
      <c r="B337" s="99" t="s">
        <v>312</v>
      </c>
      <c r="C337" s="99" t="s">
        <v>313</v>
      </c>
      <c r="D337" s="99" t="s">
        <v>314</v>
      </c>
      <c r="E337" s="70" t="s">
        <v>64</v>
      </c>
      <c r="F337" s="127" t="s">
        <v>16</v>
      </c>
      <c r="G337" s="120">
        <v>45566</v>
      </c>
      <c r="H337" s="62">
        <v>283.63</v>
      </c>
      <c r="I337" s="62">
        <f>4311*2</f>
        <v>8622</v>
      </c>
      <c r="J337" s="61"/>
      <c r="K337" s="62">
        <f>+H337*45</f>
        <v>12763.35</v>
      </c>
      <c r="L337" s="62">
        <f>+H337*20*0.25</f>
        <v>1418.15</v>
      </c>
      <c r="M337" s="62">
        <v>0</v>
      </c>
      <c r="N337" s="77"/>
      <c r="O337" s="60">
        <f>73*2</f>
        <v>146</v>
      </c>
      <c r="P337" s="61"/>
      <c r="Q337" s="63">
        <f>+I337+M337-O337</f>
        <v>8476</v>
      </c>
      <c r="R337" s="101">
        <f>+Q337/2</f>
        <v>4238</v>
      </c>
    </row>
    <row r="338" spans="1:18" s="6" customFormat="1" ht="30" customHeight="1" thickBot="1" x14ac:dyDescent="0.3">
      <c r="A338" s="7"/>
      <c r="B338" s="55" t="s">
        <v>19</v>
      </c>
      <c r="C338" s="55"/>
      <c r="D338" s="55"/>
      <c r="E338" s="56"/>
      <c r="F338" s="4"/>
      <c r="G338" s="7"/>
      <c r="H338" s="4"/>
      <c r="I338" s="4"/>
      <c r="J338" s="4"/>
      <c r="K338" s="4"/>
      <c r="L338" s="4"/>
      <c r="M338" s="13"/>
      <c r="N338" s="13"/>
      <c r="O338" s="13"/>
      <c r="P338" s="13"/>
      <c r="Q338" s="13"/>
      <c r="R338" s="130"/>
    </row>
    <row r="339" spans="1:18" s="6" customFormat="1" ht="30" customHeight="1" thickBot="1" x14ac:dyDescent="0.3">
      <c r="A339" s="7"/>
      <c r="B339" s="55" t="s">
        <v>20</v>
      </c>
      <c r="C339" s="55"/>
      <c r="D339" s="55"/>
      <c r="E339" s="56"/>
      <c r="F339" s="218" t="s">
        <v>18</v>
      </c>
      <c r="G339" s="219"/>
      <c r="H339" s="219"/>
      <c r="I339" s="17">
        <f>SUM(I337:I337)</f>
        <v>8622</v>
      </c>
      <c r="J339" s="17">
        <f t="shared" ref="J339:Q339" si="94">SUM(J337:J337)</f>
        <v>0</v>
      </c>
      <c r="K339" s="17">
        <f t="shared" si="94"/>
        <v>12763.35</v>
      </c>
      <c r="L339" s="17">
        <f t="shared" si="94"/>
        <v>1418.15</v>
      </c>
      <c r="M339" s="17">
        <f t="shared" si="94"/>
        <v>0</v>
      </c>
      <c r="N339" s="17">
        <f t="shared" si="94"/>
        <v>0</v>
      </c>
      <c r="O339" s="17">
        <f t="shared" si="94"/>
        <v>146</v>
      </c>
      <c r="P339" s="17">
        <f t="shared" si="94"/>
        <v>0</v>
      </c>
      <c r="Q339" s="33">
        <f t="shared" si="94"/>
        <v>8476</v>
      </c>
      <c r="R339" s="129">
        <f>+R337</f>
        <v>4238</v>
      </c>
    </row>
    <row r="340" spans="1:18" ht="30" customHeight="1" thickBot="1" x14ac:dyDescent="0.3">
      <c r="A340" s="9"/>
      <c r="B340" s="55" t="s">
        <v>21</v>
      </c>
      <c r="C340" s="55"/>
      <c r="D340" s="55"/>
      <c r="E340" s="55"/>
      <c r="F340" s="275" t="s">
        <v>445</v>
      </c>
      <c r="G340" s="276"/>
      <c r="H340" s="276"/>
      <c r="I340" s="161">
        <f>+I339*12</f>
        <v>103464</v>
      </c>
      <c r="J340" s="159">
        <f t="shared" ref="J340:R340" si="95">+J339*12</f>
        <v>0</v>
      </c>
      <c r="K340" s="161">
        <f>+K339</f>
        <v>12763.35</v>
      </c>
      <c r="L340" s="159">
        <f>+L339</f>
        <v>1418.15</v>
      </c>
      <c r="M340" s="161">
        <f t="shared" si="95"/>
        <v>0</v>
      </c>
      <c r="N340" s="159">
        <f t="shared" si="95"/>
        <v>0</v>
      </c>
      <c r="O340" s="161">
        <f t="shared" si="95"/>
        <v>1752</v>
      </c>
      <c r="P340" s="159">
        <f t="shared" si="95"/>
        <v>0</v>
      </c>
      <c r="Q340" s="161">
        <f t="shared" si="95"/>
        <v>101712</v>
      </c>
      <c r="R340" s="160">
        <f t="shared" si="95"/>
        <v>50856</v>
      </c>
    </row>
    <row r="341" spans="1:18" ht="30" customHeight="1" x14ac:dyDescent="0.25">
      <c r="A341" s="9"/>
      <c r="B341" s="55" t="s">
        <v>22</v>
      </c>
      <c r="C341" s="55"/>
      <c r="D341" s="55"/>
      <c r="E341" s="55"/>
      <c r="F341" s="58"/>
      <c r="G341" s="10"/>
      <c r="H341" s="58"/>
      <c r="I341" s="59"/>
      <c r="J341" s="59"/>
      <c r="K341" s="59"/>
      <c r="L341" s="59"/>
      <c r="M341" s="59"/>
      <c r="N341" s="59"/>
      <c r="O341" s="59"/>
      <c r="P341" s="59"/>
      <c r="Q341" s="59"/>
      <c r="R341" s="130"/>
    </row>
    <row r="342" spans="1:18" ht="30" customHeight="1" x14ac:dyDescent="0.25">
      <c r="A342" s="9"/>
      <c r="B342" s="55" t="s">
        <v>23</v>
      </c>
      <c r="C342" s="55"/>
      <c r="D342" s="55"/>
      <c r="E342" s="55"/>
      <c r="F342" s="58"/>
      <c r="G342" s="10"/>
      <c r="H342" s="58"/>
      <c r="I342" s="59"/>
      <c r="J342" s="59"/>
      <c r="K342" s="59"/>
      <c r="L342" s="59"/>
      <c r="M342" s="59"/>
      <c r="N342" s="59"/>
      <c r="O342" s="59"/>
      <c r="P342" s="59"/>
      <c r="Q342" s="59"/>
      <c r="R342" s="130"/>
    </row>
    <row r="343" spans="1:18" ht="30" customHeight="1" x14ac:dyDescent="0.25">
      <c r="A343" s="9"/>
      <c r="B343" s="55" t="s">
        <v>549</v>
      </c>
      <c r="C343" s="55"/>
      <c r="D343" s="55"/>
      <c r="E343" s="55"/>
      <c r="F343" s="58"/>
      <c r="G343" s="10"/>
      <c r="H343" s="58"/>
      <c r="I343" s="59"/>
      <c r="J343" s="59"/>
      <c r="K343" s="59"/>
      <c r="L343" s="59"/>
      <c r="M343" s="59"/>
      <c r="N343" s="59"/>
      <c r="O343" s="59"/>
      <c r="P343" s="59"/>
      <c r="Q343" s="59"/>
      <c r="R343" s="130"/>
    </row>
    <row r="344" spans="1:18" ht="30" customHeight="1" x14ac:dyDescent="0.25">
      <c r="A344" s="9"/>
      <c r="B344" s="55"/>
      <c r="C344" s="55"/>
      <c r="D344" s="55"/>
      <c r="E344" s="55"/>
      <c r="F344" s="58"/>
      <c r="G344" s="10"/>
      <c r="H344" s="58"/>
      <c r="I344" s="59"/>
      <c r="J344" s="59"/>
      <c r="K344" s="59"/>
      <c r="L344" s="59"/>
      <c r="M344" s="59"/>
      <c r="N344" s="59"/>
      <c r="O344" s="59"/>
      <c r="P344" s="59"/>
      <c r="Q344" s="59"/>
      <c r="R344" s="130"/>
    </row>
    <row r="345" spans="1:18" s="18" customFormat="1" ht="30" customHeight="1" x14ac:dyDescent="0.25">
      <c r="A345" s="220" t="s">
        <v>32</v>
      </c>
      <c r="B345" s="220"/>
      <c r="C345" s="220"/>
      <c r="D345" s="220"/>
      <c r="E345" s="220"/>
      <c r="F345" s="220"/>
      <c r="G345" s="220"/>
      <c r="H345" s="220"/>
      <c r="I345" s="220"/>
      <c r="J345" s="220"/>
      <c r="K345" s="220"/>
      <c r="L345" s="220"/>
      <c r="M345" s="220"/>
      <c r="N345" s="220"/>
      <c r="O345" s="220"/>
      <c r="P345" s="220"/>
      <c r="Q345" s="220"/>
      <c r="R345" s="130"/>
    </row>
    <row r="346" spans="1:18" s="18" customFormat="1" ht="30" customHeight="1" x14ac:dyDescent="0.25">
      <c r="A346" s="221" t="s">
        <v>0</v>
      </c>
      <c r="B346" s="221"/>
      <c r="C346" s="221"/>
      <c r="D346" s="221"/>
      <c r="E346" s="221"/>
      <c r="F346" s="221"/>
      <c r="G346" s="221"/>
      <c r="H346" s="221"/>
      <c r="I346" s="221"/>
      <c r="J346" s="221"/>
      <c r="K346" s="221"/>
      <c r="L346" s="221"/>
      <c r="M346" s="221"/>
      <c r="N346" s="221"/>
      <c r="O346" s="221"/>
      <c r="P346" s="221"/>
      <c r="Q346" s="221"/>
      <c r="R346" s="130"/>
    </row>
    <row r="347" spans="1:18" ht="30" customHeight="1" thickBot="1" x14ac:dyDescent="0.3">
      <c r="A347" s="221" t="s">
        <v>453</v>
      </c>
      <c r="B347" s="221"/>
      <c r="C347" s="221"/>
      <c r="D347" s="221"/>
      <c r="E347" s="221"/>
      <c r="F347" s="221"/>
      <c r="G347" s="221"/>
      <c r="H347" s="221"/>
      <c r="I347" s="221"/>
      <c r="J347" s="221"/>
      <c r="K347" s="221"/>
      <c r="L347" s="221"/>
      <c r="M347" s="221"/>
      <c r="N347" s="221"/>
      <c r="O347" s="221"/>
      <c r="P347" s="221"/>
      <c r="Q347" s="221"/>
      <c r="R347" s="130"/>
    </row>
    <row r="348" spans="1:18" s="5" customFormat="1" ht="24.95" customHeight="1" x14ac:dyDescent="0.25">
      <c r="A348" s="109"/>
      <c r="B348" s="210" t="s">
        <v>72</v>
      </c>
      <c r="C348" s="210"/>
      <c r="D348" s="210"/>
      <c r="E348" s="210"/>
      <c r="F348" s="210"/>
      <c r="G348" s="210"/>
      <c r="H348" s="210"/>
      <c r="I348" s="2"/>
      <c r="J348" s="2"/>
      <c r="K348" s="2"/>
      <c r="L348" s="2"/>
      <c r="M348" s="3"/>
      <c r="N348" s="3"/>
      <c r="O348" s="3"/>
      <c r="P348" s="3"/>
      <c r="Q348" s="84"/>
      <c r="R348" s="232"/>
    </row>
    <row r="349" spans="1:18" s="5" customFormat="1" ht="24.95" customHeight="1" thickBot="1" x14ac:dyDescent="0.3">
      <c r="A349" s="110"/>
      <c r="B349" s="213"/>
      <c r="C349" s="213"/>
      <c r="D349" s="213"/>
      <c r="E349" s="213"/>
      <c r="F349" s="236"/>
      <c r="G349" s="236"/>
      <c r="H349" s="236"/>
      <c r="I349" s="85"/>
      <c r="J349" s="85"/>
      <c r="K349" s="85"/>
      <c r="L349" s="85"/>
      <c r="M349" s="85"/>
      <c r="N349" s="85"/>
      <c r="O349" s="85"/>
      <c r="P349" s="85"/>
      <c r="Q349" s="86"/>
      <c r="R349" s="233"/>
    </row>
    <row r="350" spans="1:18" s="25" customFormat="1" ht="27.95" customHeight="1" x14ac:dyDescent="0.25">
      <c r="A350" s="237"/>
      <c r="B350" s="239" t="s">
        <v>2</v>
      </c>
      <c r="C350" s="267" t="s">
        <v>178</v>
      </c>
      <c r="D350" s="267" t="s">
        <v>179</v>
      </c>
      <c r="E350" s="239" t="s">
        <v>3</v>
      </c>
      <c r="F350" s="227" t="s">
        <v>4</v>
      </c>
      <c r="G350" s="243" t="s">
        <v>5</v>
      </c>
      <c r="H350" s="227" t="s">
        <v>6</v>
      </c>
      <c r="I350" s="227" t="s">
        <v>7</v>
      </c>
      <c r="J350" s="227" t="s">
        <v>8</v>
      </c>
      <c r="K350" s="227" t="s">
        <v>9</v>
      </c>
      <c r="L350" s="227" t="s">
        <v>10</v>
      </c>
      <c r="M350" s="227" t="s">
        <v>11</v>
      </c>
      <c r="N350" s="227" t="s">
        <v>12</v>
      </c>
      <c r="O350" s="227" t="s">
        <v>13</v>
      </c>
      <c r="P350" s="227" t="s">
        <v>14</v>
      </c>
      <c r="Q350" s="234" t="s">
        <v>15</v>
      </c>
      <c r="R350" s="230" t="s">
        <v>140</v>
      </c>
    </row>
    <row r="351" spans="1:18" s="25" customFormat="1" ht="27.95" customHeight="1" thickBot="1" x14ac:dyDescent="0.3">
      <c r="A351" s="238"/>
      <c r="B351" s="242"/>
      <c r="C351" s="268"/>
      <c r="D351" s="268"/>
      <c r="E351" s="241"/>
      <c r="F351" s="228"/>
      <c r="G351" s="244"/>
      <c r="H351" s="228"/>
      <c r="I351" s="228"/>
      <c r="J351" s="228"/>
      <c r="K351" s="228"/>
      <c r="L351" s="228"/>
      <c r="M351" s="228"/>
      <c r="N351" s="229"/>
      <c r="O351" s="229"/>
      <c r="P351" s="228"/>
      <c r="Q351" s="235"/>
      <c r="R351" s="208"/>
    </row>
    <row r="352" spans="1:18" s="25" customFormat="1" ht="39.950000000000003" customHeight="1" x14ac:dyDescent="0.25">
      <c r="A352" s="29"/>
      <c r="B352" s="43" t="s">
        <v>177</v>
      </c>
      <c r="C352" s="43"/>
      <c r="D352" s="43"/>
      <c r="E352" s="43" t="s">
        <v>78</v>
      </c>
      <c r="F352" s="35" t="s">
        <v>17</v>
      </c>
      <c r="G352" s="30"/>
      <c r="H352" s="60">
        <v>283.63</v>
      </c>
      <c r="I352" s="52">
        <f>4311*2</f>
        <v>8622</v>
      </c>
      <c r="J352" s="61"/>
      <c r="K352" s="62">
        <f>+H352*45</f>
        <v>12763.35</v>
      </c>
      <c r="L352" s="62">
        <f>+H352*20*0.25</f>
        <v>1418.15</v>
      </c>
      <c r="M352" s="60">
        <v>0</v>
      </c>
      <c r="N352" s="61"/>
      <c r="O352" s="60">
        <f>73*2</f>
        <v>146</v>
      </c>
      <c r="P352" s="61"/>
      <c r="Q352" s="63">
        <f>+I352+M352-O352</f>
        <v>8476</v>
      </c>
      <c r="R352" s="101">
        <f>+Q352/2</f>
        <v>4238</v>
      </c>
    </row>
    <row r="353" spans="1:18" s="6" customFormat="1" ht="30" customHeight="1" thickBot="1" x14ac:dyDescent="0.3">
      <c r="A353" s="7"/>
      <c r="B353" s="55" t="s">
        <v>19</v>
      </c>
      <c r="C353" s="55"/>
      <c r="D353" s="55"/>
      <c r="E353" s="56"/>
      <c r="F353" s="4"/>
      <c r="G353" s="7"/>
      <c r="H353" s="4"/>
      <c r="I353" s="4"/>
      <c r="J353" s="4"/>
      <c r="K353" s="4"/>
      <c r="L353" s="4"/>
      <c r="M353" s="13"/>
      <c r="N353" s="13"/>
      <c r="O353" s="13"/>
      <c r="P353" s="13"/>
      <c r="Q353" s="13"/>
      <c r="R353" s="130"/>
    </row>
    <row r="354" spans="1:18" s="6" customFormat="1" ht="30" customHeight="1" thickBot="1" x14ac:dyDescent="0.3">
      <c r="A354" s="7"/>
      <c r="B354" s="55" t="s">
        <v>20</v>
      </c>
      <c r="C354" s="55"/>
      <c r="D354" s="55"/>
      <c r="E354" s="56"/>
      <c r="F354" s="218" t="s">
        <v>18</v>
      </c>
      <c r="G354" s="219"/>
      <c r="H354" s="219"/>
      <c r="I354" s="17">
        <f>SUM(I352:I352)</f>
        <v>8622</v>
      </c>
      <c r="J354" s="17">
        <f t="shared" ref="J354:Q354" si="96">SUM(J352:J352)</f>
        <v>0</v>
      </c>
      <c r="K354" s="17">
        <f t="shared" si="96"/>
        <v>12763.35</v>
      </c>
      <c r="L354" s="17">
        <f t="shared" si="96"/>
        <v>1418.15</v>
      </c>
      <c r="M354" s="17">
        <f t="shared" si="96"/>
        <v>0</v>
      </c>
      <c r="N354" s="17">
        <f t="shared" si="96"/>
        <v>0</v>
      </c>
      <c r="O354" s="17">
        <f t="shared" si="96"/>
        <v>146</v>
      </c>
      <c r="P354" s="17">
        <f t="shared" si="96"/>
        <v>0</v>
      </c>
      <c r="Q354" s="33">
        <f t="shared" si="96"/>
        <v>8476</v>
      </c>
      <c r="R354" s="129">
        <f>+R352</f>
        <v>4238</v>
      </c>
    </row>
    <row r="355" spans="1:18" ht="30" customHeight="1" thickBot="1" x14ac:dyDescent="0.3">
      <c r="A355" s="9"/>
      <c r="B355" s="55" t="s">
        <v>21</v>
      </c>
      <c r="C355" s="55"/>
      <c r="D355" s="55"/>
      <c r="E355" s="55"/>
      <c r="F355" s="275" t="s">
        <v>445</v>
      </c>
      <c r="G355" s="276"/>
      <c r="H355" s="276"/>
      <c r="I355" s="161">
        <f>+I354*12</f>
        <v>103464</v>
      </c>
      <c r="J355" s="159">
        <f t="shared" ref="J355:R355" si="97">+J354*12</f>
        <v>0</v>
      </c>
      <c r="K355" s="161">
        <f>+K354</f>
        <v>12763.35</v>
      </c>
      <c r="L355" s="159">
        <f>+L354</f>
        <v>1418.15</v>
      </c>
      <c r="M355" s="161">
        <f t="shared" si="97"/>
        <v>0</v>
      </c>
      <c r="N355" s="159">
        <f t="shared" si="97"/>
        <v>0</v>
      </c>
      <c r="O355" s="161">
        <f t="shared" si="97"/>
        <v>1752</v>
      </c>
      <c r="P355" s="159">
        <f t="shared" si="97"/>
        <v>0</v>
      </c>
      <c r="Q355" s="161">
        <f t="shared" si="97"/>
        <v>101712</v>
      </c>
      <c r="R355" s="160">
        <f t="shared" si="97"/>
        <v>50856</v>
      </c>
    </row>
    <row r="356" spans="1:18" ht="30" customHeight="1" x14ac:dyDescent="0.25">
      <c r="A356" s="9"/>
      <c r="B356" s="55" t="s">
        <v>22</v>
      </c>
      <c r="C356" s="55"/>
      <c r="D356" s="55"/>
      <c r="E356" s="55"/>
      <c r="F356" s="58"/>
      <c r="G356" s="10"/>
      <c r="H356" s="58"/>
      <c r="I356" s="59"/>
      <c r="J356" s="59"/>
      <c r="K356" s="59"/>
      <c r="L356" s="59"/>
      <c r="M356" s="59"/>
      <c r="N356" s="59"/>
      <c r="O356" s="59"/>
      <c r="P356" s="59"/>
      <c r="Q356" s="59"/>
      <c r="R356" s="130"/>
    </row>
    <row r="357" spans="1:18" ht="30" customHeight="1" x14ac:dyDescent="0.25">
      <c r="A357" s="9"/>
      <c r="B357" s="55" t="s">
        <v>23</v>
      </c>
      <c r="C357" s="55"/>
      <c r="D357" s="55"/>
      <c r="E357" s="55"/>
      <c r="F357" s="58"/>
      <c r="G357" s="10"/>
      <c r="H357" s="58"/>
      <c r="I357" s="59"/>
      <c r="J357" s="59"/>
      <c r="K357" s="59"/>
      <c r="L357" s="59"/>
      <c r="M357" s="59"/>
      <c r="N357" s="59"/>
      <c r="O357" s="59"/>
      <c r="P357" s="59"/>
      <c r="Q357" s="59"/>
      <c r="R357" s="130"/>
    </row>
    <row r="358" spans="1:18" ht="30" customHeight="1" x14ac:dyDescent="0.25">
      <c r="A358" s="9"/>
      <c r="B358" s="55" t="s">
        <v>549</v>
      </c>
      <c r="C358" s="55"/>
      <c r="D358" s="55"/>
      <c r="E358" s="55"/>
      <c r="F358" s="58"/>
      <c r="G358" s="10"/>
      <c r="H358" s="58"/>
      <c r="I358" s="59"/>
      <c r="J358" s="59"/>
      <c r="K358" s="59"/>
      <c r="L358" s="59"/>
      <c r="M358" s="59"/>
      <c r="N358" s="59"/>
      <c r="O358" s="59"/>
      <c r="P358" s="59"/>
      <c r="Q358" s="59"/>
      <c r="R358" s="37"/>
    </row>
    <row r="359" spans="1:18" s="181" customFormat="1" ht="30" customHeight="1" x14ac:dyDescent="0.25">
      <c r="A359" s="175"/>
      <c r="B359" s="176"/>
      <c r="C359" s="176"/>
      <c r="D359" s="176"/>
      <c r="E359" s="176"/>
      <c r="F359" s="177"/>
      <c r="G359" s="178"/>
      <c r="H359" s="177"/>
      <c r="I359" s="179">
        <f t="shared" ref="I359:R359" si="98">+I355+I340+I325+I301+I283+I259+I242+I226+I179+I131+I109+I89+I72+I51+I34+I13</f>
        <v>15248616</v>
      </c>
      <c r="J359" s="179">
        <f t="shared" si="98"/>
        <v>0</v>
      </c>
      <c r="K359" s="59">
        <f t="shared" si="98"/>
        <v>2019155.7324999997</v>
      </c>
      <c r="L359" s="59">
        <f t="shared" si="98"/>
        <v>253435.90158800004</v>
      </c>
      <c r="M359" s="179">
        <f t="shared" si="98"/>
        <v>0</v>
      </c>
      <c r="N359" s="179">
        <f t="shared" si="98"/>
        <v>0</v>
      </c>
      <c r="O359" s="179">
        <f t="shared" si="98"/>
        <v>1099488</v>
      </c>
      <c r="P359" s="179">
        <f t="shared" si="98"/>
        <v>0</v>
      </c>
      <c r="Q359" s="179">
        <f t="shared" si="98"/>
        <v>14045664</v>
      </c>
      <c r="R359" s="179">
        <f t="shared" si="98"/>
        <v>7073688</v>
      </c>
    </row>
    <row r="360" spans="1:18" s="181" customFormat="1" ht="30" customHeight="1" x14ac:dyDescent="0.25">
      <c r="A360" s="175"/>
      <c r="B360" s="176"/>
      <c r="C360" s="176"/>
      <c r="D360" s="176"/>
      <c r="E360" s="176"/>
      <c r="F360" s="177"/>
      <c r="G360" s="178"/>
      <c r="H360" s="177"/>
      <c r="I360" s="179"/>
      <c r="J360" s="179"/>
      <c r="K360" s="59"/>
      <c r="L360" s="59"/>
      <c r="M360" s="179"/>
      <c r="N360" s="179"/>
      <c r="O360" s="179"/>
      <c r="P360" s="179"/>
      <c r="Q360" s="179"/>
      <c r="R360" s="180"/>
    </row>
    <row r="361" spans="1:18" ht="30" customHeight="1" x14ac:dyDescent="0.25">
      <c r="A361" s="9"/>
      <c r="B361" s="55"/>
      <c r="C361" s="55"/>
      <c r="D361" s="55"/>
      <c r="E361" s="55"/>
      <c r="F361" s="58"/>
      <c r="G361" s="10"/>
      <c r="H361" s="58"/>
      <c r="I361" s="59"/>
      <c r="J361" s="59"/>
      <c r="K361" s="59"/>
      <c r="L361" s="59"/>
      <c r="M361" s="59"/>
      <c r="N361" s="59"/>
      <c r="O361" s="59"/>
      <c r="P361" s="59"/>
      <c r="Q361" s="59"/>
      <c r="R361" s="130"/>
    </row>
    <row r="362" spans="1:18" ht="30" customHeight="1" x14ac:dyDescent="0.25">
      <c r="A362" s="9"/>
      <c r="B362" s="55"/>
      <c r="C362" s="55"/>
      <c r="D362" s="55"/>
      <c r="E362" s="55"/>
      <c r="F362" s="58"/>
      <c r="G362" s="10"/>
      <c r="H362" s="58"/>
      <c r="I362" s="59"/>
      <c r="J362" s="59"/>
      <c r="K362" s="59"/>
      <c r="L362" s="59"/>
      <c r="M362" s="59"/>
      <c r="N362" s="59"/>
      <c r="O362" s="59"/>
      <c r="P362" s="59"/>
      <c r="Q362" s="59"/>
      <c r="R362" s="130"/>
    </row>
    <row r="363" spans="1:18" s="18" customFormat="1" ht="30" customHeight="1" x14ac:dyDescent="0.25">
      <c r="A363" s="220" t="s">
        <v>32</v>
      </c>
      <c r="B363" s="220"/>
      <c r="C363" s="220"/>
      <c r="D363" s="220"/>
      <c r="E363" s="220"/>
      <c r="F363" s="220"/>
      <c r="G363" s="220"/>
      <c r="H363" s="220"/>
      <c r="I363" s="220"/>
      <c r="J363" s="220"/>
      <c r="K363" s="220"/>
      <c r="L363" s="220"/>
      <c r="M363" s="220"/>
      <c r="N363" s="220"/>
      <c r="O363" s="220"/>
      <c r="P363" s="220"/>
      <c r="Q363" s="220"/>
      <c r="R363" s="130"/>
    </row>
    <row r="364" spans="1:18" s="18" customFormat="1" ht="30" customHeight="1" x14ac:dyDescent="0.25">
      <c r="A364" s="221" t="s">
        <v>0</v>
      </c>
      <c r="B364" s="221"/>
      <c r="C364" s="221"/>
      <c r="D364" s="221"/>
      <c r="E364" s="221"/>
      <c r="F364" s="221"/>
      <c r="G364" s="221"/>
      <c r="H364" s="221"/>
      <c r="I364" s="221"/>
      <c r="J364" s="221"/>
      <c r="K364" s="221"/>
      <c r="L364" s="221"/>
      <c r="M364" s="221"/>
      <c r="N364" s="221"/>
      <c r="O364" s="221"/>
      <c r="P364" s="221"/>
      <c r="Q364" s="221"/>
      <c r="R364" s="130"/>
    </row>
    <row r="365" spans="1:18" ht="30" customHeight="1" thickBot="1" x14ac:dyDescent="0.3">
      <c r="A365" s="221" t="s">
        <v>453</v>
      </c>
      <c r="B365" s="221"/>
      <c r="C365" s="221"/>
      <c r="D365" s="221"/>
      <c r="E365" s="221"/>
      <c r="F365" s="221"/>
      <c r="G365" s="221"/>
      <c r="H365" s="221"/>
      <c r="I365" s="221"/>
      <c r="J365" s="221"/>
      <c r="K365" s="221"/>
      <c r="L365" s="221"/>
      <c r="M365" s="221"/>
      <c r="N365" s="221"/>
      <c r="O365" s="221"/>
      <c r="P365" s="221"/>
      <c r="Q365" s="221"/>
      <c r="R365" s="130"/>
    </row>
    <row r="366" spans="1:18" s="4" customFormat="1" ht="24.95" customHeight="1" x14ac:dyDescent="0.25">
      <c r="A366" s="109"/>
      <c r="B366" s="209" t="s">
        <v>451</v>
      </c>
      <c r="C366" s="210"/>
      <c r="D366" s="210"/>
      <c r="E366" s="210"/>
      <c r="F366" s="210"/>
      <c r="G366" s="210"/>
      <c r="H366" s="210"/>
      <c r="I366" s="210"/>
      <c r="J366" s="210"/>
      <c r="K366" s="210"/>
      <c r="L366" s="210"/>
      <c r="M366" s="210"/>
      <c r="N366" s="210"/>
      <c r="O366" s="210"/>
      <c r="P366" s="210"/>
      <c r="Q366" s="210"/>
      <c r="R366" s="211"/>
    </row>
    <row r="367" spans="1:18" s="19" customFormat="1" ht="24.95" customHeight="1" thickBot="1" x14ac:dyDescent="0.3">
      <c r="A367" s="110"/>
      <c r="B367" s="212"/>
      <c r="C367" s="213"/>
      <c r="D367" s="213"/>
      <c r="E367" s="213"/>
      <c r="F367" s="213"/>
      <c r="G367" s="213"/>
      <c r="H367" s="213"/>
      <c r="I367" s="213"/>
      <c r="J367" s="213"/>
      <c r="K367" s="213"/>
      <c r="L367" s="213"/>
      <c r="M367" s="213"/>
      <c r="N367" s="213"/>
      <c r="O367" s="213"/>
      <c r="P367" s="213"/>
      <c r="Q367" s="213"/>
      <c r="R367" s="214"/>
    </row>
    <row r="368" spans="1:18" s="7" customFormat="1" ht="27.95" customHeight="1" x14ac:dyDescent="0.25">
      <c r="A368" s="237"/>
      <c r="B368" s="259" t="s">
        <v>2</v>
      </c>
      <c r="C368" s="267" t="s">
        <v>178</v>
      </c>
      <c r="D368" s="267" t="s">
        <v>179</v>
      </c>
      <c r="E368" s="259" t="s">
        <v>3</v>
      </c>
      <c r="F368" s="256" t="s">
        <v>4</v>
      </c>
      <c r="G368" s="260" t="s">
        <v>5</v>
      </c>
      <c r="H368" s="256" t="s">
        <v>6</v>
      </c>
      <c r="I368" s="256" t="s">
        <v>7</v>
      </c>
      <c r="J368" s="256" t="s">
        <v>8</v>
      </c>
      <c r="K368" s="256" t="s">
        <v>9</v>
      </c>
      <c r="L368" s="256" t="s">
        <v>10</v>
      </c>
      <c r="M368" s="256" t="s">
        <v>11</v>
      </c>
      <c r="N368" s="256" t="s">
        <v>12</v>
      </c>
      <c r="O368" s="256" t="s">
        <v>13</v>
      </c>
      <c r="P368" s="256" t="s">
        <v>14</v>
      </c>
      <c r="Q368" s="266" t="s">
        <v>15</v>
      </c>
      <c r="R368" s="230" t="s">
        <v>140</v>
      </c>
    </row>
    <row r="369" spans="1:18" s="7" customFormat="1" ht="27.95" customHeight="1" thickBot="1" x14ac:dyDescent="0.3">
      <c r="A369" s="269"/>
      <c r="B369" s="240"/>
      <c r="C369" s="270"/>
      <c r="D369" s="270"/>
      <c r="E369" s="263"/>
      <c r="F369" s="264"/>
      <c r="G369" s="265"/>
      <c r="H369" s="264"/>
      <c r="I369" s="264"/>
      <c r="J369" s="264"/>
      <c r="K369" s="228"/>
      <c r="L369" s="228"/>
      <c r="M369" s="228"/>
      <c r="N369" s="229"/>
      <c r="O369" s="229"/>
      <c r="P369" s="228"/>
      <c r="Q369" s="235"/>
      <c r="R369" s="231"/>
    </row>
    <row r="370" spans="1:18" s="21" customFormat="1" ht="60" customHeight="1" x14ac:dyDescent="0.25">
      <c r="A370" s="99">
        <v>53</v>
      </c>
      <c r="B370" s="119" t="s">
        <v>506</v>
      </c>
      <c r="C370" s="99" t="s">
        <v>507</v>
      </c>
      <c r="D370" s="99" t="s">
        <v>508</v>
      </c>
      <c r="E370" s="119" t="s">
        <v>354</v>
      </c>
      <c r="F370" s="79" t="s">
        <v>16</v>
      </c>
      <c r="G370" s="122">
        <v>45962</v>
      </c>
      <c r="H370" s="50">
        <v>599.48</v>
      </c>
      <c r="I370" s="62">
        <f>9112*2</f>
        <v>18224</v>
      </c>
      <c r="J370" s="51"/>
      <c r="K370" s="62">
        <f t="shared" ref="K370:K398" si="99">+H370*45</f>
        <v>26976.600000000002</v>
      </c>
      <c r="L370" s="62">
        <f t="shared" ref="L370:L398" si="100">+H370*20*0.25</f>
        <v>2997.4</v>
      </c>
      <c r="M370" s="52">
        <v>0</v>
      </c>
      <c r="N370" s="51"/>
      <c r="O370" s="50">
        <f>1112*2</f>
        <v>2224</v>
      </c>
      <c r="P370" s="51"/>
      <c r="Q370" s="54">
        <f>+I370-O370</f>
        <v>16000</v>
      </c>
      <c r="R370" s="101">
        <f t="shared" ref="R370:R398" si="101">+Q370/2</f>
        <v>8000</v>
      </c>
    </row>
    <row r="371" spans="1:18" s="21" customFormat="1" ht="60" customHeight="1" x14ac:dyDescent="0.25">
      <c r="A371" s="99">
        <v>71</v>
      </c>
      <c r="B371" s="119" t="s">
        <v>75</v>
      </c>
      <c r="C371" s="99" t="s">
        <v>318</v>
      </c>
      <c r="D371" s="99" t="s">
        <v>319</v>
      </c>
      <c r="E371" s="119" t="s">
        <v>65</v>
      </c>
      <c r="F371" s="79" t="s">
        <v>17</v>
      </c>
      <c r="G371" s="122">
        <v>45612</v>
      </c>
      <c r="H371" s="60">
        <v>283.63</v>
      </c>
      <c r="I371" s="52">
        <f>4311*2</f>
        <v>8622</v>
      </c>
      <c r="J371" s="61"/>
      <c r="K371" s="62">
        <f t="shared" si="99"/>
        <v>12763.35</v>
      </c>
      <c r="L371" s="62">
        <f t="shared" si="100"/>
        <v>1418.15</v>
      </c>
      <c r="M371" s="60">
        <v>0</v>
      </c>
      <c r="N371" s="61"/>
      <c r="O371" s="60">
        <f>73*2</f>
        <v>146</v>
      </c>
      <c r="P371" s="61"/>
      <c r="Q371" s="63">
        <f>+I371+M371-O371</f>
        <v>8476</v>
      </c>
      <c r="R371" s="101">
        <f>+Q371/2</f>
        <v>4238</v>
      </c>
    </row>
    <row r="372" spans="1:18" s="21" customFormat="1" ht="60" customHeight="1" x14ac:dyDescent="0.25">
      <c r="A372" s="99">
        <v>73</v>
      </c>
      <c r="B372" s="119" t="s">
        <v>128</v>
      </c>
      <c r="C372" s="99" t="s">
        <v>320</v>
      </c>
      <c r="D372" s="99" t="s">
        <v>321</v>
      </c>
      <c r="E372" s="119" t="s">
        <v>90</v>
      </c>
      <c r="F372" s="79" t="s">
        <v>16</v>
      </c>
      <c r="G372" s="122">
        <v>44667</v>
      </c>
      <c r="H372" s="60">
        <v>687.46</v>
      </c>
      <c r="I372" s="52">
        <v>20898</v>
      </c>
      <c r="J372" s="62"/>
      <c r="K372" s="62">
        <f t="shared" si="99"/>
        <v>30935.7</v>
      </c>
      <c r="L372" s="62">
        <f t="shared" si="100"/>
        <v>3437.3</v>
      </c>
      <c r="M372" s="60">
        <v>0</v>
      </c>
      <c r="N372" s="62"/>
      <c r="O372" s="60">
        <v>2794</v>
      </c>
      <c r="P372" s="61"/>
      <c r="Q372" s="63">
        <f>+I372-O372</f>
        <v>18104</v>
      </c>
      <c r="R372" s="94">
        <f t="shared" si="101"/>
        <v>9052</v>
      </c>
    </row>
    <row r="373" spans="1:18" s="21" customFormat="1" ht="60" customHeight="1" x14ac:dyDescent="0.25">
      <c r="A373" s="99">
        <v>90</v>
      </c>
      <c r="B373" s="119" t="s">
        <v>87</v>
      </c>
      <c r="C373" s="99" t="s">
        <v>322</v>
      </c>
      <c r="D373" s="99" t="s">
        <v>323</v>
      </c>
      <c r="E373" s="119" t="s">
        <v>65</v>
      </c>
      <c r="F373" s="79" t="s">
        <v>17</v>
      </c>
      <c r="G373" s="122">
        <v>45078</v>
      </c>
      <c r="H373" s="60">
        <v>283.63</v>
      </c>
      <c r="I373" s="52">
        <f t="shared" ref="I373:I377" si="102">4311*2</f>
        <v>8622</v>
      </c>
      <c r="J373" s="61"/>
      <c r="K373" s="62">
        <f t="shared" si="99"/>
        <v>12763.35</v>
      </c>
      <c r="L373" s="62">
        <f t="shared" si="100"/>
        <v>1418.15</v>
      </c>
      <c r="M373" s="60">
        <v>0</v>
      </c>
      <c r="N373" s="61"/>
      <c r="O373" s="60">
        <f t="shared" ref="O373:O377" si="103">73*2</f>
        <v>146</v>
      </c>
      <c r="P373" s="61"/>
      <c r="Q373" s="63">
        <f t="shared" ref="Q373:Q377" si="104">+I373+M373-O373</f>
        <v>8476</v>
      </c>
      <c r="R373" s="101">
        <f t="shared" si="101"/>
        <v>4238</v>
      </c>
    </row>
    <row r="374" spans="1:18" s="19" customFormat="1" ht="60" customHeight="1" x14ac:dyDescent="0.25">
      <c r="A374" s="99">
        <v>92</v>
      </c>
      <c r="B374" s="119" t="s">
        <v>88</v>
      </c>
      <c r="C374" s="99" t="s">
        <v>324</v>
      </c>
      <c r="D374" s="99" t="s">
        <v>325</v>
      </c>
      <c r="E374" s="119" t="s">
        <v>65</v>
      </c>
      <c r="F374" s="79" t="s">
        <v>17</v>
      </c>
      <c r="G374" s="122">
        <v>45154</v>
      </c>
      <c r="H374" s="60">
        <v>283.63</v>
      </c>
      <c r="I374" s="52">
        <f t="shared" si="102"/>
        <v>8622</v>
      </c>
      <c r="J374" s="61"/>
      <c r="K374" s="62">
        <f t="shared" si="99"/>
        <v>12763.35</v>
      </c>
      <c r="L374" s="62">
        <f t="shared" si="100"/>
        <v>1418.15</v>
      </c>
      <c r="M374" s="60">
        <v>0</v>
      </c>
      <c r="N374" s="61"/>
      <c r="O374" s="60">
        <f t="shared" si="103"/>
        <v>146</v>
      </c>
      <c r="P374" s="61"/>
      <c r="Q374" s="63">
        <f t="shared" si="104"/>
        <v>8476</v>
      </c>
      <c r="R374" s="101">
        <f t="shared" si="101"/>
        <v>4238</v>
      </c>
    </row>
    <row r="375" spans="1:18" s="19" customFormat="1" ht="60" customHeight="1" x14ac:dyDescent="0.25">
      <c r="A375" s="99">
        <v>93</v>
      </c>
      <c r="B375" s="119" t="s">
        <v>89</v>
      </c>
      <c r="C375" s="99" t="s">
        <v>326</v>
      </c>
      <c r="D375" s="99" t="s">
        <v>327</v>
      </c>
      <c r="E375" s="119" t="s">
        <v>65</v>
      </c>
      <c r="F375" s="79" t="s">
        <v>17</v>
      </c>
      <c r="G375" s="122">
        <v>45170</v>
      </c>
      <c r="H375" s="60">
        <v>283.63</v>
      </c>
      <c r="I375" s="52">
        <f t="shared" si="102"/>
        <v>8622</v>
      </c>
      <c r="J375" s="61"/>
      <c r="K375" s="62">
        <f t="shared" si="99"/>
        <v>12763.35</v>
      </c>
      <c r="L375" s="62">
        <f t="shared" si="100"/>
        <v>1418.15</v>
      </c>
      <c r="M375" s="60">
        <v>0</v>
      </c>
      <c r="N375" s="61"/>
      <c r="O375" s="60">
        <f t="shared" si="103"/>
        <v>146</v>
      </c>
      <c r="P375" s="61"/>
      <c r="Q375" s="63">
        <f t="shared" si="104"/>
        <v>8476</v>
      </c>
      <c r="R375" s="101">
        <f t="shared" si="101"/>
        <v>4238</v>
      </c>
    </row>
    <row r="376" spans="1:18" s="19" customFormat="1" ht="60" customHeight="1" x14ac:dyDescent="0.25">
      <c r="A376" s="99">
        <v>95</v>
      </c>
      <c r="B376" s="119" t="s">
        <v>169</v>
      </c>
      <c r="C376" s="99" t="s">
        <v>328</v>
      </c>
      <c r="D376" s="99" t="s">
        <v>329</v>
      </c>
      <c r="E376" s="119" t="s">
        <v>65</v>
      </c>
      <c r="F376" s="79" t="s">
        <v>17</v>
      </c>
      <c r="G376" s="122">
        <v>45215</v>
      </c>
      <c r="H376" s="60">
        <v>283.63</v>
      </c>
      <c r="I376" s="52">
        <f t="shared" si="102"/>
        <v>8622</v>
      </c>
      <c r="J376" s="61"/>
      <c r="K376" s="62">
        <f t="shared" si="99"/>
        <v>12763.35</v>
      </c>
      <c r="L376" s="62">
        <f t="shared" si="100"/>
        <v>1418.15</v>
      </c>
      <c r="M376" s="60">
        <v>0</v>
      </c>
      <c r="N376" s="61"/>
      <c r="O376" s="60">
        <f t="shared" si="103"/>
        <v>146</v>
      </c>
      <c r="P376" s="61"/>
      <c r="Q376" s="63">
        <f t="shared" si="104"/>
        <v>8476</v>
      </c>
      <c r="R376" s="101">
        <f t="shared" si="101"/>
        <v>4238</v>
      </c>
    </row>
    <row r="377" spans="1:18" s="19" customFormat="1" ht="60" customHeight="1" x14ac:dyDescent="0.25">
      <c r="A377" s="99">
        <v>112</v>
      </c>
      <c r="B377" s="119" t="s">
        <v>137</v>
      </c>
      <c r="C377" s="99" t="s">
        <v>330</v>
      </c>
      <c r="D377" s="99" t="s">
        <v>331</v>
      </c>
      <c r="E377" s="119" t="s">
        <v>65</v>
      </c>
      <c r="F377" s="79" t="s">
        <v>17</v>
      </c>
      <c r="G377" s="122">
        <v>45428</v>
      </c>
      <c r="H377" s="60">
        <v>283.63</v>
      </c>
      <c r="I377" s="52">
        <f t="shared" si="102"/>
        <v>8622</v>
      </c>
      <c r="J377" s="61"/>
      <c r="K377" s="62">
        <f t="shared" si="99"/>
        <v>12763.35</v>
      </c>
      <c r="L377" s="62">
        <f t="shared" si="100"/>
        <v>1418.15</v>
      </c>
      <c r="M377" s="60">
        <v>0</v>
      </c>
      <c r="N377" s="61"/>
      <c r="O377" s="60">
        <f t="shared" si="103"/>
        <v>146</v>
      </c>
      <c r="P377" s="61"/>
      <c r="Q377" s="63">
        <f t="shared" si="104"/>
        <v>8476</v>
      </c>
      <c r="R377" s="101">
        <f t="shared" si="101"/>
        <v>4238</v>
      </c>
    </row>
    <row r="378" spans="1:18" s="19" customFormat="1" ht="60" customHeight="1" x14ac:dyDescent="0.25">
      <c r="A378" s="99">
        <v>115</v>
      </c>
      <c r="B378" s="119" t="s">
        <v>129</v>
      </c>
      <c r="C378" s="99" t="s">
        <v>332</v>
      </c>
      <c r="D378" s="99" t="s">
        <v>333</v>
      </c>
      <c r="E378" s="119" t="s">
        <v>176</v>
      </c>
      <c r="F378" s="79" t="s">
        <v>17</v>
      </c>
      <c r="G378" s="122">
        <v>45536</v>
      </c>
      <c r="H378" s="121">
        <v>441.61959999999999</v>
      </c>
      <c r="I378" s="121">
        <f>6713*2</f>
        <v>13426</v>
      </c>
      <c r="J378" s="62"/>
      <c r="K378" s="62">
        <f t="shared" si="99"/>
        <v>19872.881999999998</v>
      </c>
      <c r="L378" s="62">
        <f t="shared" si="100"/>
        <v>2208.098</v>
      </c>
      <c r="M378" s="60">
        <v>0</v>
      </c>
      <c r="N378" s="62"/>
      <c r="O378" s="173">
        <f>635*2</f>
        <v>1270</v>
      </c>
      <c r="P378" s="145"/>
      <c r="Q378" s="63">
        <f>+I378-O378</f>
        <v>12156</v>
      </c>
      <c r="R378" s="94">
        <f t="shared" si="101"/>
        <v>6078</v>
      </c>
    </row>
    <row r="379" spans="1:18" s="19" customFormat="1" ht="60" customHeight="1" x14ac:dyDescent="0.25">
      <c r="A379" s="99">
        <v>116</v>
      </c>
      <c r="B379" s="119" t="s">
        <v>130</v>
      </c>
      <c r="C379" s="99" t="s">
        <v>334</v>
      </c>
      <c r="D379" s="99" t="s">
        <v>335</v>
      </c>
      <c r="E379" s="119" t="s">
        <v>176</v>
      </c>
      <c r="F379" s="79" t="s">
        <v>17</v>
      </c>
      <c r="G379" s="122">
        <v>45536</v>
      </c>
      <c r="H379" s="121">
        <v>441.61959999999999</v>
      </c>
      <c r="I379" s="121">
        <f>6713*2</f>
        <v>13426</v>
      </c>
      <c r="J379" s="62"/>
      <c r="K379" s="62">
        <f t="shared" si="99"/>
        <v>19872.881999999998</v>
      </c>
      <c r="L379" s="62">
        <f t="shared" si="100"/>
        <v>2208.098</v>
      </c>
      <c r="M379" s="60">
        <v>0</v>
      </c>
      <c r="N379" s="62"/>
      <c r="O379" s="173">
        <f>635*2</f>
        <v>1270</v>
      </c>
      <c r="P379" s="145"/>
      <c r="Q379" s="63">
        <f>+I379-O379</f>
        <v>12156</v>
      </c>
      <c r="R379" s="94">
        <f t="shared" si="101"/>
        <v>6078</v>
      </c>
    </row>
    <row r="380" spans="1:18" s="19" customFormat="1" ht="60" customHeight="1" x14ac:dyDescent="0.25">
      <c r="A380" s="99">
        <v>117</v>
      </c>
      <c r="B380" s="119" t="s">
        <v>315</v>
      </c>
      <c r="C380" s="99" t="s">
        <v>336</v>
      </c>
      <c r="D380" s="99" t="s">
        <v>337</v>
      </c>
      <c r="E380" s="119" t="s">
        <v>65</v>
      </c>
      <c r="F380" s="79" t="s">
        <v>17</v>
      </c>
      <c r="G380" s="122">
        <v>45536</v>
      </c>
      <c r="H380" s="60">
        <v>283.63</v>
      </c>
      <c r="I380" s="52">
        <f t="shared" ref="I380:I398" si="105">4311*2</f>
        <v>8622</v>
      </c>
      <c r="J380" s="61"/>
      <c r="K380" s="62">
        <f t="shared" si="99"/>
        <v>12763.35</v>
      </c>
      <c r="L380" s="62">
        <f t="shared" si="100"/>
        <v>1418.15</v>
      </c>
      <c r="M380" s="60">
        <v>0</v>
      </c>
      <c r="N380" s="61"/>
      <c r="O380" s="60">
        <f t="shared" ref="O380:O398" si="106">73*2</f>
        <v>146</v>
      </c>
      <c r="P380" s="61"/>
      <c r="Q380" s="63">
        <f t="shared" ref="Q380:Q398" si="107">+I380+M380-O380</f>
        <v>8476</v>
      </c>
      <c r="R380" s="101">
        <f t="shared" si="101"/>
        <v>4238</v>
      </c>
    </row>
    <row r="381" spans="1:18" s="19" customFormat="1" ht="60" customHeight="1" x14ac:dyDescent="0.25">
      <c r="A381" s="99">
        <v>130</v>
      </c>
      <c r="B381" s="119" t="s">
        <v>509</v>
      </c>
      <c r="C381" s="99" t="s">
        <v>346</v>
      </c>
      <c r="D381" s="99" t="s">
        <v>347</v>
      </c>
      <c r="E381" s="119" t="s">
        <v>65</v>
      </c>
      <c r="F381" s="79" t="s">
        <v>17</v>
      </c>
      <c r="G381" s="122">
        <v>45778</v>
      </c>
      <c r="H381" s="60">
        <v>283.63</v>
      </c>
      <c r="I381" s="52">
        <f t="shared" si="105"/>
        <v>8622</v>
      </c>
      <c r="J381" s="61"/>
      <c r="K381" s="62">
        <f t="shared" si="99"/>
        <v>12763.35</v>
      </c>
      <c r="L381" s="62">
        <f t="shared" si="100"/>
        <v>1418.15</v>
      </c>
      <c r="M381" s="60">
        <v>0</v>
      </c>
      <c r="N381" s="61"/>
      <c r="O381" s="60">
        <f t="shared" si="106"/>
        <v>146</v>
      </c>
      <c r="P381" s="61"/>
      <c r="Q381" s="63">
        <f t="shared" si="107"/>
        <v>8476</v>
      </c>
      <c r="R381" s="101">
        <f t="shared" si="101"/>
        <v>4238</v>
      </c>
    </row>
    <row r="382" spans="1:18" s="19" customFormat="1" ht="60" customHeight="1" x14ac:dyDescent="0.25">
      <c r="A382" s="99">
        <v>146</v>
      </c>
      <c r="B382" s="119" t="s">
        <v>510</v>
      </c>
      <c r="C382" s="99" t="s">
        <v>511</v>
      </c>
      <c r="D382" s="99" t="s">
        <v>512</v>
      </c>
      <c r="E382" s="119" t="s">
        <v>65</v>
      </c>
      <c r="F382" s="79" t="s">
        <v>17</v>
      </c>
      <c r="G382" s="122">
        <v>45658</v>
      </c>
      <c r="H382" s="60">
        <v>283.63</v>
      </c>
      <c r="I382" s="52">
        <f t="shared" si="105"/>
        <v>8622</v>
      </c>
      <c r="J382" s="61"/>
      <c r="K382" s="62">
        <f t="shared" si="99"/>
        <v>12763.35</v>
      </c>
      <c r="L382" s="62">
        <f t="shared" si="100"/>
        <v>1418.15</v>
      </c>
      <c r="M382" s="60">
        <v>0</v>
      </c>
      <c r="N382" s="61"/>
      <c r="O382" s="60">
        <f t="shared" si="106"/>
        <v>146</v>
      </c>
      <c r="P382" s="61"/>
      <c r="Q382" s="63">
        <f t="shared" si="107"/>
        <v>8476</v>
      </c>
      <c r="R382" s="101">
        <f t="shared" si="101"/>
        <v>4238</v>
      </c>
    </row>
    <row r="383" spans="1:18" s="19" customFormat="1" ht="60" customHeight="1" x14ac:dyDescent="0.25">
      <c r="A383" s="99">
        <v>121</v>
      </c>
      <c r="B383" s="119" t="s">
        <v>132</v>
      </c>
      <c r="C383" s="99" t="s">
        <v>340</v>
      </c>
      <c r="D383" s="99" t="s">
        <v>341</v>
      </c>
      <c r="E383" s="119" t="s">
        <v>65</v>
      </c>
      <c r="F383" s="79" t="s">
        <v>17</v>
      </c>
      <c r="G383" s="122">
        <v>45885</v>
      </c>
      <c r="H383" s="60">
        <v>283.63</v>
      </c>
      <c r="I383" s="52">
        <f t="shared" si="105"/>
        <v>8622</v>
      </c>
      <c r="J383" s="61"/>
      <c r="K383" s="62">
        <f t="shared" si="99"/>
        <v>12763.35</v>
      </c>
      <c r="L383" s="62">
        <f t="shared" si="100"/>
        <v>1418.15</v>
      </c>
      <c r="M383" s="60">
        <v>0</v>
      </c>
      <c r="N383" s="61"/>
      <c r="O383" s="60">
        <f t="shared" si="106"/>
        <v>146</v>
      </c>
      <c r="P383" s="61"/>
      <c r="Q383" s="63">
        <f t="shared" si="107"/>
        <v>8476</v>
      </c>
      <c r="R383" s="101">
        <f t="shared" si="101"/>
        <v>4238</v>
      </c>
    </row>
    <row r="384" spans="1:18" s="19" customFormat="1" ht="60" customHeight="1" x14ac:dyDescent="0.25">
      <c r="A384" s="99">
        <v>148</v>
      </c>
      <c r="B384" s="119" t="s">
        <v>513</v>
      </c>
      <c r="C384" s="99" t="s">
        <v>514</v>
      </c>
      <c r="D384" s="99" t="s">
        <v>515</v>
      </c>
      <c r="E384" s="119" t="s">
        <v>65</v>
      </c>
      <c r="F384" s="79" t="s">
        <v>17</v>
      </c>
      <c r="G384" s="122">
        <v>45763</v>
      </c>
      <c r="H384" s="60">
        <v>283.63</v>
      </c>
      <c r="I384" s="52">
        <f t="shared" si="105"/>
        <v>8622</v>
      </c>
      <c r="J384" s="61"/>
      <c r="K384" s="62">
        <f t="shared" si="99"/>
        <v>12763.35</v>
      </c>
      <c r="L384" s="62">
        <f t="shared" si="100"/>
        <v>1418.15</v>
      </c>
      <c r="M384" s="60">
        <v>0</v>
      </c>
      <c r="N384" s="61"/>
      <c r="O384" s="60">
        <f t="shared" si="106"/>
        <v>146</v>
      </c>
      <c r="P384" s="61"/>
      <c r="Q384" s="63">
        <f t="shared" si="107"/>
        <v>8476</v>
      </c>
      <c r="R384" s="101">
        <f t="shared" si="101"/>
        <v>4238</v>
      </c>
    </row>
    <row r="385" spans="1:18" s="19" customFormat="1" ht="60" customHeight="1" x14ac:dyDescent="0.25">
      <c r="A385" s="99">
        <v>123</v>
      </c>
      <c r="B385" s="119" t="s">
        <v>133</v>
      </c>
      <c r="C385" s="99" t="s">
        <v>342</v>
      </c>
      <c r="D385" s="99" t="s">
        <v>343</v>
      </c>
      <c r="E385" s="119" t="s">
        <v>65</v>
      </c>
      <c r="F385" s="79" t="s">
        <v>17</v>
      </c>
      <c r="G385" s="122">
        <v>45536</v>
      </c>
      <c r="H385" s="60">
        <v>283.63</v>
      </c>
      <c r="I385" s="52">
        <f t="shared" si="105"/>
        <v>8622</v>
      </c>
      <c r="J385" s="61"/>
      <c r="K385" s="62">
        <f t="shared" si="99"/>
        <v>12763.35</v>
      </c>
      <c r="L385" s="62">
        <f t="shared" si="100"/>
        <v>1418.15</v>
      </c>
      <c r="M385" s="60">
        <v>0</v>
      </c>
      <c r="N385" s="61"/>
      <c r="O385" s="60">
        <f t="shared" si="106"/>
        <v>146</v>
      </c>
      <c r="P385" s="61"/>
      <c r="Q385" s="63">
        <f t="shared" si="107"/>
        <v>8476</v>
      </c>
      <c r="R385" s="101">
        <f t="shared" si="101"/>
        <v>4238</v>
      </c>
    </row>
    <row r="386" spans="1:18" s="19" customFormat="1" ht="60" customHeight="1" x14ac:dyDescent="0.25">
      <c r="A386" s="99">
        <v>124</v>
      </c>
      <c r="B386" s="119" t="s">
        <v>134</v>
      </c>
      <c r="C386" s="99" t="s">
        <v>344</v>
      </c>
      <c r="D386" s="99" t="s">
        <v>345</v>
      </c>
      <c r="E386" s="119" t="s">
        <v>65</v>
      </c>
      <c r="F386" s="79" t="s">
        <v>17</v>
      </c>
      <c r="G386" s="122">
        <v>45536</v>
      </c>
      <c r="H386" s="60">
        <v>283.63</v>
      </c>
      <c r="I386" s="52">
        <f t="shared" si="105"/>
        <v>8622</v>
      </c>
      <c r="J386" s="61"/>
      <c r="K386" s="62">
        <f t="shared" si="99"/>
        <v>12763.35</v>
      </c>
      <c r="L386" s="62">
        <f t="shared" si="100"/>
        <v>1418.15</v>
      </c>
      <c r="M386" s="60">
        <v>0</v>
      </c>
      <c r="N386" s="61"/>
      <c r="O386" s="60">
        <f t="shared" si="106"/>
        <v>146</v>
      </c>
      <c r="P386" s="61"/>
      <c r="Q386" s="63">
        <f t="shared" si="107"/>
        <v>8476</v>
      </c>
      <c r="R386" s="101">
        <f t="shared" si="101"/>
        <v>4238</v>
      </c>
    </row>
    <row r="387" spans="1:18" s="19" customFormat="1" ht="60" customHeight="1" x14ac:dyDescent="0.25">
      <c r="A387" s="99">
        <v>149</v>
      </c>
      <c r="B387" s="119" t="s">
        <v>516</v>
      </c>
      <c r="C387" s="99" t="s">
        <v>517</v>
      </c>
      <c r="D387" s="99" t="s">
        <v>518</v>
      </c>
      <c r="E387" s="119" t="s">
        <v>65</v>
      </c>
      <c r="F387" s="79" t="s">
        <v>17</v>
      </c>
      <c r="G387" s="122">
        <v>45763</v>
      </c>
      <c r="H387" s="60">
        <v>283.63</v>
      </c>
      <c r="I387" s="52">
        <f t="shared" si="105"/>
        <v>8622</v>
      </c>
      <c r="J387" s="61"/>
      <c r="K387" s="62">
        <f t="shared" si="99"/>
        <v>12763.35</v>
      </c>
      <c r="L387" s="62">
        <f t="shared" si="100"/>
        <v>1418.15</v>
      </c>
      <c r="M387" s="60">
        <v>0</v>
      </c>
      <c r="N387" s="61"/>
      <c r="O387" s="60">
        <f t="shared" si="106"/>
        <v>146</v>
      </c>
      <c r="P387" s="61"/>
      <c r="Q387" s="63">
        <f t="shared" si="107"/>
        <v>8476</v>
      </c>
      <c r="R387" s="101">
        <f t="shared" si="101"/>
        <v>4238</v>
      </c>
    </row>
    <row r="388" spans="1:18" s="19" customFormat="1" ht="60" customHeight="1" x14ac:dyDescent="0.25">
      <c r="A388" s="99">
        <v>127</v>
      </c>
      <c r="B388" s="119" t="s">
        <v>135</v>
      </c>
      <c r="C388" s="99" t="s">
        <v>346</v>
      </c>
      <c r="D388" s="99" t="s">
        <v>347</v>
      </c>
      <c r="E388" s="119" t="s">
        <v>65</v>
      </c>
      <c r="F388" s="79" t="s">
        <v>17</v>
      </c>
      <c r="G388" s="122">
        <v>45536</v>
      </c>
      <c r="H388" s="60">
        <v>283.63</v>
      </c>
      <c r="I388" s="52">
        <f t="shared" si="105"/>
        <v>8622</v>
      </c>
      <c r="J388" s="61"/>
      <c r="K388" s="62">
        <f t="shared" si="99"/>
        <v>12763.35</v>
      </c>
      <c r="L388" s="62">
        <f t="shared" si="100"/>
        <v>1418.15</v>
      </c>
      <c r="M388" s="60">
        <v>0</v>
      </c>
      <c r="N388" s="61"/>
      <c r="O388" s="60">
        <f t="shared" si="106"/>
        <v>146</v>
      </c>
      <c r="P388" s="61"/>
      <c r="Q388" s="63">
        <f t="shared" si="107"/>
        <v>8476</v>
      </c>
      <c r="R388" s="101">
        <f t="shared" si="101"/>
        <v>4238</v>
      </c>
    </row>
    <row r="389" spans="1:18" s="19" customFormat="1" ht="60" customHeight="1" x14ac:dyDescent="0.25">
      <c r="A389" s="99">
        <v>131</v>
      </c>
      <c r="B389" s="119" t="s">
        <v>136</v>
      </c>
      <c r="C389" s="99" t="s">
        <v>348</v>
      </c>
      <c r="D389" s="99" t="s">
        <v>349</v>
      </c>
      <c r="E389" s="119" t="s">
        <v>65</v>
      </c>
      <c r="F389" s="79" t="s">
        <v>17</v>
      </c>
      <c r="G389" s="122">
        <v>45536</v>
      </c>
      <c r="H389" s="60">
        <v>283.63</v>
      </c>
      <c r="I389" s="52">
        <f t="shared" si="105"/>
        <v>8622</v>
      </c>
      <c r="J389" s="61"/>
      <c r="K389" s="62">
        <f t="shared" si="99"/>
        <v>12763.35</v>
      </c>
      <c r="L389" s="62">
        <f t="shared" si="100"/>
        <v>1418.15</v>
      </c>
      <c r="M389" s="60">
        <v>0</v>
      </c>
      <c r="N389" s="61"/>
      <c r="O389" s="60">
        <f t="shared" si="106"/>
        <v>146</v>
      </c>
      <c r="P389" s="61"/>
      <c r="Q389" s="63">
        <f t="shared" si="107"/>
        <v>8476</v>
      </c>
      <c r="R389" s="101">
        <f t="shared" si="101"/>
        <v>4238</v>
      </c>
    </row>
    <row r="390" spans="1:18" s="19" customFormat="1" ht="60" customHeight="1" x14ac:dyDescent="0.25">
      <c r="A390" s="99">
        <v>141</v>
      </c>
      <c r="B390" s="119" t="s">
        <v>316</v>
      </c>
      <c r="C390" s="99" t="s">
        <v>350</v>
      </c>
      <c r="D390" s="99" t="s">
        <v>351</v>
      </c>
      <c r="E390" s="119" t="s">
        <v>86</v>
      </c>
      <c r="F390" s="79" t="s">
        <v>17</v>
      </c>
      <c r="G390" s="122">
        <v>45566</v>
      </c>
      <c r="H390" s="60">
        <v>283.63</v>
      </c>
      <c r="I390" s="52">
        <f t="shared" si="105"/>
        <v>8622</v>
      </c>
      <c r="J390" s="61"/>
      <c r="K390" s="62">
        <f t="shared" si="99"/>
        <v>12763.35</v>
      </c>
      <c r="L390" s="62">
        <f t="shared" si="100"/>
        <v>1418.15</v>
      </c>
      <c r="M390" s="60">
        <v>0</v>
      </c>
      <c r="N390" s="61"/>
      <c r="O390" s="60">
        <f t="shared" si="106"/>
        <v>146</v>
      </c>
      <c r="P390" s="61"/>
      <c r="Q390" s="63">
        <f t="shared" si="107"/>
        <v>8476</v>
      </c>
      <c r="R390" s="101">
        <f t="shared" si="101"/>
        <v>4238</v>
      </c>
    </row>
    <row r="391" spans="1:18" s="19" customFormat="1" ht="60" customHeight="1" x14ac:dyDescent="0.25">
      <c r="A391" s="99">
        <v>143</v>
      </c>
      <c r="B391" s="119" t="s">
        <v>317</v>
      </c>
      <c r="C391" s="99" t="s">
        <v>352</v>
      </c>
      <c r="D391" s="99" t="s">
        <v>353</v>
      </c>
      <c r="E391" s="119" t="s">
        <v>65</v>
      </c>
      <c r="F391" s="79" t="s">
        <v>17</v>
      </c>
      <c r="G391" s="122">
        <v>45566</v>
      </c>
      <c r="H391" s="60">
        <v>283.63</v>
      </c>
      <c r="I391" s="52">
        <f t="shared" si="105"/>
        <v>8622</v>
      </c>
      <c r="J391" s="61"/>
      <c r="K391" s="62">
        <f t="shared" si="99"/>
        <v>12763.35</v>
      </c>
      <c r="L391" s="62">
        <f t="shared" si="100"/>
        <v>1418.15</v>
      </c>
      <c r="M391" s="60">
        <v>0</v>
      </c>
      <c r="N391" s="61"/>
      <c r="O391" s="60">
        <f t="shared" si="106"/>
        <v>146</v>
      </c>
      <c r="P391" s="61"/>
      <c r="Q391" s="63">
        <f t="shared" si="107"/>
        <v>8476</v>
      </c>
      <c r="R391" s="101">
        <f t="shared" si="101"/>
        <v>4238</v>
      </c>
    </row>
    <row r="392" spans="1:18" s="19" customFormat="1" ht="60" customHeight="1" x14ac:dyDescent="0.25">
      <c r="A392" s="99">
        <v>151</v>
      </c>
      <c r="B392" s="119" t="s">
        <v>519</v>
      </c>
      <c r="C392" s="99" t="s">
        <v>520</v>
      </c>
      <c r="D392" s="99" t="s">
        <v>521</v>
      </c>
      <c r="E392" s="119" t="s">
        <v>65</v>
      </c>
      <c r="F392" s="79" t="s">
        <v>17</v>
      </c>
      <c r="G392" s="122">
        <v>45793</v>
      </c>
      <c r="H392" s="60">
        <v>283.63</v>
      </c>
      <c r="I392" s="52">
        <f t="shared" si="105"/>
        <v>8622</v>
      </c>
      <c r="J392" s="61"/>
      <c r="K392" s="62">
        <f t="shared" si="99"/>
        <v>12763.35</v>
      </c>
      <c r="L392" s="62">
        <f t="shared" si="100"/>
        <v>1418.15</v>
      </c>
      <c r="M392" s="60">
        <v>0</v>
      </c>
      <c r="N392" s="61"/>
      <c r="O392" s="60">
        <f t="shared" si="106"/>
        <v>146</v>
      </c>
      <c r="P392" s="61"/>
      <c r="Q392" s="63">
        <f t="shared" si="107"/>
        <v>8476</v>
      </c>
      <c r="R392" s="101">
        <f t="shared" si="101"/>
        <v>4238</v>
      </c>
    </row>
    <row r="393" spans="1:18" s="19" customFormat="1" ht="60" customHeight="1" x14ac:dyDescent="0.25">
      <c r="A393" s="99">
        <v>153</v>
      </c>
      <c r="B393" s="119" t="s">
        <v>522</v>
      </c>
      <c r="C393" s="99" t="s">
        <v>523</v>
      </c>
      <c r="D393" s="99" t="s">
        <v>524</v>
      </c>
      <c r="E393" s="119" t="s">
        <v>65</v>
      </c>
      <c r="F393" s="79" t="s">
        <v>17</v>
      </c>
      <c r="G393" s="122">
        <v>45824</v>
      </c>
      <c r="H393" s="60">
        <v>283.63</v>
      </c>
      <c r="I393" s="52">
        <f t="shared" si="105"/>
        <v>8622</v>
      </c>
      <c r="J393" s="61"/>
      <c r="K393" s="62">
        <f t="shared" si="99"/>
        <v>12763.35</v>
      </c>
      <c r="L393" s="62">
        <f t="shared" si="100"/>
        <v>1418.15</v>
      </c>
      <c r="M393" s="60">
        <v>0</v>
      </c>
      <c r="N393" s="61"/>
      <c r="O393" s="60">
        <f t="shared" si="106"/>
        <v>146</v>
      </c>
      <c r="P393" s="61"/>
      <c r="Q393" s="63">
        <f t="shared" si="107"/>
        <v>8476</v>
      </c>
      <c r="R393" s="101">
        <f t="shared" si="101"/>
        <v>4238</v>
      </c>
    </row>
    <row r="394" spans="1:18" s="19" customFormat="1" ht="60" customHeight="1" x14ac:dyDescent="0.25">
      <c r="A394" s="99">
        <v>154</v>
      </c>
      <c r="B394" s="119" t="s">
        <v>525</v>
      </c>
      <c r="C394" s="99" t="s">
        <v>526</v>
      </c>
      <c r="D394" s="99" t="s">
        <v>527</v>
      </c>
      <c r="E394" s="119" t="s">
        <v>65</v>
      </c>
      <c r="F394" s="79" t="s">
        <v>17</v>
      </c>
      <c r="G394" s="122">
        <v>45824</v>
      </c>
      <c r="H394" s="60">
        <v>283.63</v>
      </c>
      <c r="I394" s="52">
        <f t="shared" si="105"/>
        <v>8622</v>
      </c>
      <c r="J394" s="61"/>
      <c r="K394" s="62">
        <f t="shared" si="99"/>
        <v>12763.35</v>
      </c>
      <c r="L394" s="62">
        <f t="shared" si="100"/>
        <v>1418.15</v>
      </c>
      <c r="M394" s="60">
        <v>0</v>
      </c>
      <c r="N394" s="61"/>
      <c r="O394" s="60">
        <f t="shared" si="106"/>
        <v>146</v>
      </c>
      <c r="P394" s="61"/>
      <c r="Q394" s="63">
        <f t="shared" si="107"/>
        <v>8476</v>
      </c>
      <c r="R394" s="101">
        <f t="shared" si="101"/>
        <v>4238</v>
      </c>
    </row>
    <row r="395" spans="1:18" s="19" customFormat="1" ht="60" customHeight="1" x14ac:dyDescent="0.25">
      <c r="A395" s="99">
        <v>157</v>
      </c>
      <c r="B395" s="119" t="s">
        <v>528</v>
      </c>
      <c r="C395" s="99" t="s">
        <v>529</v>
      </c>
      <c r="D395" s="99" t="s">
        <v>530</v>
      </c>
      <c r="E395" s="119" t="s">
        <v>65</v>
      </c>
      <c r="F395" s="79" t="s">
        <v>17</v>
      </c>
      <c r="G395" s="122">
        <v>45901</v>
      </c>
      <c r="H395" s="60">
        <v>283.63</v>
      </c>
      <c r="I395" s="52">
        <f t="shared" si="105"/>
        <v>8622</v>
      </c>
      <c r="J395" s="61"/>
      <c r="K395" s="62">
        <f t="shared" si="99"/>
        <v>12763.35</v>
      </c>
      <c r="L395" s="62">
        <f t="shared" si="100"/>
        <v>1418.15</v>
      </c>
      <c r="M395" s="60">
        <v>0</v>
      </c>
      <c r="N395" s="61"/>
      <c r="O395" s="60">
        <f t="shared" si="106"/>
        <v>146</v>
      </c>
      <c r="P395" s="61"/>
      <c r="Q395" s="63">
        <f t="shared" si="107"/>
        <v>8476</v>
      </c>
      <c r="R395" s="101">
        <f t="shared" si="101"/>
        <v>4238</v>
      </c>
    </row>
    <row r="396" spans="1:18" s="19" customFormat="1" ht="60" customHeight="1" x14ac:dyDescent="0.25">
      <c r="A396" s="99">
        <v>158</v>
      </c>
      <c r="B396" s="119" t="s">
        <v>531</v>
      </c>
      <c r="C396" s="99" t="s">
        <v>532</v>
      </c>
      <c r="D396" s="99" t="s">
        <v>533</v>
      </c>
      <c r="E396" s="119" t="s">
        <v>65</v>
      </c>
      <c r="F396" s="79" t="s">
        <v>17</v>
      </c>
      <c r="G396" s="122">
        <v>45946</v>
      </c>
      <c r="H396" s="60">
        <v>283.63</v>
      </c>
      <c r="I396" s="52">
        <f t="shared" si="105"/>
        <v>8622</v>
      </c>
      <c r="J396" s="61"/>
      <c r="K396" s="62">
        <f t="shared" si="99"/>
        <v>12763.35</v>
      </c>
      <c r="L396" s="62">
        <f t="shared" si="100"/>
        <v>1418.15</v>
      </c>
      <c r="M396" s="60">
        <v>0</v>
      </c>
      <c r="N396" s="61"/>
      <c r="O396" s="60">
        <f t="shared" si="106"/>
        <v>146</v>
      </c>
      <c r="P396" s="61"/>
      <c r="Q396" s="63">
        <f t="shared" si="107"/>
        <v>8476</v>
      </c>
      <c r="R396" s="101">
        <f t="shared" si="101"/>
        <v>4238</v>
      </c>
    </row>
    <row r="397" spans="1:18" s="19" customFormat="1" ht="60" customHeight="1" x14ac:dyDescent="0.25">
      <c r="A397" s="99">
        <v>159</v>
      </c>
      <c r="B397" s="119" t="s">
        <v>534</v>
      </c>
      <c r="C397" s="99" t="s">
        <v>535</v>
      </c>
      <c r="D397" s="99" t="s">
        <v>536</v>
      </c>
      <c r="E397" s="119" t="s">
        <v>65</v>
      </c>
      <c r="F397" s="79" t="s">
        <v>17</v>
      </c>
      <c r="G397" s="122">
        <v>45992</v>
      </c>
      <c r="H397" s="60">
        <v>283.63</v>
      </c>
      <c r="I397" s="52">
        <f t="shared" si="105"/>
        <v>8622</v>
      </c>
      <c r="J397" s="61"/>
      <c r="K397" s="62">
        <f t="shared" si="99"/>
        <v>12763.35</v>
      </c>
      <c r="L397" s="62">
        <f t="shared" si="100"/>
        <v>1418.15</v>
      </c>
      <c r="M397" s="60">
        <v>0</v>
      </c>
      <c r="N397" s="61"/>
      <c r="O397" s="60">
        <f t="shared" si="106"/>
        <v>146</v>
      </c>
      <c r="P397" s="61"/>
      <c r="Q397" s="63">
        <f t="shared" si="107"/>
        <v>8476</v>
      </c>
      <c r="R397" s="101">
        <f t="shared" si="101"/>
        <v>4238</v>
      </c>
    </row>
    <row r="398" spans="1:18" s="19" customFormat="1" ht="60" customHeight="1" x14ac:dyDescent="0.25">
      <c r="A398" s="99"/>
      <c r="B398" s="119" t="s">
        <v>177</v>
      </c>
      <c r="C398" s="99"/>
      <c r="D398" s="99"/>
      <c r="E398" s="119" t="s">
        <v>65</v>
      </c>
      <c r="F398" s="79" t="s">
        <v>17</v>
      </c>
      <c r="G398" s="122">
        <v>45566</v>
      </c>
      <c r="H398" s="60">
        <v>283.63</v>
      </c>
      <c r="I398" s="52">
        <f t="shared" si="105"/>
        <v>8622</v>
      </c>
      <c r="J398" s="61"/>
      <c r="K398" s="62">
        <f t="shared" si="99"/>
        <v>12763.35</v>
      </c>
      <c r="L398" s="62">
        <f t="shared" si="100"/>
        <v>1418.15</v>
      </c>
      <c r="M398" s="60">
        <v>0</v>
      </c>
      <c r="N398" s="61"/>
      <c r="O398" s="60">
        <f t="shared" si="106"/>
        <v>146</v>
      </c>
      <c r="P398" s="61"/>
      <c r="Q398" s="63">
        <f t="shared" si="107"/>
        <v>8476</v>
      </c>
      <c r="R398" s="101">
        <f t="shared" si="101"/>
        <v>4238</v>
      </c>
    </row>
    <row r="399" spans="1:18" s="19" customFormat="1" ht="39.950000000000003" customHeight="1" thickBot="1" x14ac:dyDescent="0.3">
      <c r="A399" s="148"/>
      <c r="B399" s="55" t="s">
        <v>19</v>
      </c>
      <c r="C399" s="148"/>
      <c r="D399" s="148"/>
      <c r="E399" s="147"/>
      <c r="F399" s="149"/>
      <c r="G399" s="150"/>
      <c r="H399" s="88"/>
      <c r="I399" s="146"/>
      <c r="J399" s="81"/>
      <c r="K399" s="118"/>
      <c r="L399" s="118"/>
      <c r="M399" s="88"/>
      <c r="N399" s="81"/>
      <c r="O399" s="88"/>
      <c r="P399" s="81"/>
      <c r="Q399" s="89"/>
      <c r="R399" s="128"/>
    </row>
    <row r="400" spans="1:18" ht="30" customHeight="1" thickBot="1" x14ac:dyDescent="0.3">
      <c r="A400" s="9"/>
      <c r="B400" s="55" t="s">
        <v>20</v>
      </c>
      <c r="C400" s="55"/>
      <c r="D400" s="55"/>
      <c r="E400" s="55"/>
      <c r="F400" s="218" t="s">
        <v>18</v>
      </c>
      <c r="G400" s="219"/>
      <c r="H400" s="292"/>
      <c r="I400" s="133">
        <f t="shared" ref="I400:R400" si="108">SUM(I370:I398)</f>
        <v>281524</v>
      </c>
      <c r="J400" s="133">
        <f t="shared" si="108"/>
        <v>0</v>
      </c>
      <c r="K400" s="133">
        <f t="shared" si="108"/>
        <v>416741.81399999972</v>
      </c>
      <c r="L400" s="133">
        <f t="shared" si="108"/>
        <v>46304.646000000022</v>
      </c>
      <c r="M400" s="133">
        <f t="shared" si="108"/>
        <v>0</v>
      </c>
      <c r="N400" s="133">
        <f t="shared" si="108"/>
        <v>0</v>
      </c>
      <c r="O400" s="133">
        <f t="shared" si="108"/>
        <v>11208</v>
      </c>
      <c r="P400" s="133">
        <f t="shared" si="108"/>
        <v>0</v>
      </c>
      <c r="Q400" s="133">
        <f t="shared" si="108"/>
        <v>270316</v>
      </c>
      <c r="R400" s="133">
        <f t="shared" si="108"/>
        <v>135158</v>
      </c>
    </row>
    <row r="401" spans="1:18" ht="30" customHeight="1" thickBot="1" x14ac:dyDescent="0.3">
      <c r="A401" s="9"/>
      <c r="B401" s="55" t="s">
        <v>21</v>
      </c>
      <c r="C401" s="55"/>
      <c r="D401" s="55"/>
      <c r="E401" s="55"/>
      <c r="F401" s="273" t="s">
        <v>445</v>
      </c>
      <c r="G401" s="274"/>
      <c r="H401" s="274"/>
      <c r="I401" s="153">
        <f>+I400*12</f>
        <v>3378288</v>
      </c>
      <c r="J401" s="151">
        <f t="shared" ref="J401:R401" si="109">+J400*12</f>
        <v>0</v>
      </c>
      <c r="K401" s="153">
        <f>+K400</f>
        <v>416741.81399999972</v>
      </c>
      <c r="L401" s="151">
        <f>+L400</f>
        <v>46304.646000000022</v>
      </c>
      <c r="M401" s="153">
        <f t="shared" si="109"/>
        <v>0</v>
      </c>
      <c r="N401" s="151">
        <f t="shared" si="109"/>
        <v>0</v>
      </c>
      <c r="O401" s="153">
        <f t="shared" si="109"/>
        <v>134496</v>
      </c>
      <c r="P401" s="151">
        <f t="shared" si="109"/>
        <v>0</v>
      </c>
      <c r="Q401" s="153">
        <f t="shared" si="109"/>
        <v>3243792</v>
      </c>
      <c r="R401" s="153">
        <f t="shared" si="109"/>
        <v>1621896</v>
      </c>
    </row>
    <row r="402" spans="1:18" ht="30" customHeight="1" x14ac:dyDescent="0.25">
      <c r="A402" s="9"/>
      <c r="B402" s="55" t="s">
        <v>22</v>
      </c>
      <c r="C402" s="55"/>
      <c r="D402" s="55"/>
      <c r="E402" s="55"/>
      <c r="F402" s="58"/>
      <c r="G402" s="10"/>
      <c r="H402" s="58"/>
      <c r="I402" s="59"/>
      <c r="J402" s="59"/>
      <c r="K402" s="187"/>
      <c r="L402" s="59"/>
      <c r="M402" s="59"/>
      <c r="N402" s="59"/>
      <c r="O402" s="59"/>
      <c r="P402" s="59"/>
      <c r="Q402" s="59"/>
      <c r="R402" s="130"/>
    </row>
    <row r="403" spans="1:18" ht="30" customHeight="1" x14ac:dyDescent="0.25">
      <c r="A403" s="9"/>
      <c r="B403" s="55" t="s">
        <v>23</v>
      </c>
      <c r="C403" s="55"/>
      <c r="D403" s="55"/>
      <c r="E403" s="55"/>
      <c r="F403" s="58"/>
      <c r="G403" s="10"/>
      <c r="H403" s="58"/>
      <c r="I403" s="59"/>
      <c r="J403" s="59"/>
      <c r="K403" s="187"/>
      <c r="L403" s="59"/>
      <c r="M403" s="59"/>
      <c r="N403" s="59"/>
      <c r="O403" s="59"/>
      <c r="P403" s="59"/>
      <c r="Q403" s="59"/>
      <c r="R403" s="130"/>
    </row>
    <row r="404" spans="1:18" ht="30" customHeight="1" x14ac:dyDescent="0.25">
      <c r="A404" s="9"/>
      <c r="B404" s="55" t="s">
        <v>549</v>
      </c>
      <c r="C404" s="55"/>
      <c r="D404" s="55"/>
      <c r="E404" s="55"/>
      <c r="F404" s="58"/>
      <c r="G404" s="10"/>
      <c r="H404" s="58"/>
      <c r="I404" s="59"/>
      <c r="J404" s="59"/>
      <c r="K404" s="187"/>
      <c r="L404" s="59"/>
      <c r="M404" s="59"/>
      <c r="N404" s="59"/>
      <c r="O404" s="59"/>
      <c r="P404" s="59"/>
      <c r="Q404" s="59"/>
      <c r="R404" s="130"/>
    </row>
    <row r="405" spans="1:18" ht="30" customHeight="1" x14ac:dyDescent="0.25">
      <c r="A405" s="9"/>
      <c r="B405" s="55"/>
      <c r="C405" s="55"/>
      <c r="D405" s="55"/>
      <c r="E405" s="55"/>
      <c r="F405" s="58"/>
      <c r="G405" s="10"/>
      <c r="H405" s="58"/>
      <c r="I405" s="59"/>
      <c r="J405" s="59"/>
      <c r="K405" s="187"/>
      <c r="L405" s="59"/>
      <c r="M405" s="59"/>
      <c r="N405" s="59"/>
      <c r="O405" s="59"/>
      <c r="P405" s="59"/>
      <c r="Q405" s="59"/>
      <c r="R405" s="130"/>
    </row>
    <row r="406" spans="1:18" s="18" customFormat="1" ht="30" customHeight="1" x14ac:dyDescent="0.25">
      <c r="A406" s="220" t="s">
        <v>32</v>
      </c>
      <c r="B406" s="220"/>
      <c r="C406" s="220"/>
      <c r="D406" s="220"/>
      <c r="E406" s="220"/>
      <c r="F406" s="220"/>
      <c r="G406" s="220"/>
      <c r="H406" s="220"/>
      <c r="I406" s="220"/>
      <c r="J406" s="220"/>
      <c r="K406" s="220"/>
      <c r="L406" s="220"/>
      <c r="M406" s="220"/>
      <c r="N406" s="220"/>
      <c r="O406" s="220"/>
      <c r="P406" s="220"/>
      <c r="Q406" s="220"/>
      <c r="R406" s="130"/>
    </row>
    <row r="407" spans="1:18" s="18" customFormat="1" ht="30" customHeight="1" x14ac:dyDescent="0.25">
      <c r="A407" s="221" t="s">
        <v>0</v>
      </c>
      <c r="B407" s="221"/>
      <c r="C407" s="221"/>
      <c r="D407" s="221"/>
      <c r="E407" s="221"/>
      <c r="F407" s="221"/>
      <c r="G407" s="221"/>
      <c r="H407" s="221"/>
      <c r="I407" s="221"/>
      <c r="J407" s="221"/>
      <c r="K407" s="221"/>
      <c r="L407" s="221"/>
      <c r="M407" s="221"/>
      <c r="N407" s="221"/>
      <c r="O407" s="221"/>
      <c r="P407" s="221"/>
      <c r="Q407" s="221"/>
      <c r="R407" s="130"/>
    </row>
    <row r="408" spans="1:18" ht="30" customHeight="1" thickBot="1" x14ac:dyDescent="0.3">
      <c r="A408" s="221" t="s">
        <v>453</v>
      </c>
      <c r="B408" s="221"/>
      <c r="C408" s="221"/>
      <c r="D408" s="221"/>
      <c r="E408" s="221"/>
      <c r="F408" s="221"/>
      <c r="G408" s="221"/>
      <c r="H408" s="221"/>
      <c r="I408" s="221"/>
      <c r="J408" s="221"/>
      <c r="K408" s="221"/>
      <c r="L408" s="221"/>
      <c r="M408" s="221"/>
      <c r="N408" s="221"/>
      <c r="O408" s="221"/>
      <c r="P408" s="221"/>
      <c r="Q408" s="221"/>
      <c r="R408" s="130"/>
    </row>
    <row r="409" spans="1:18" s="4" customFormat="1" ht="24.95" customHeight="1" x14ac:dyDescent="0.25">
      <c r="A409" s="109"/>
      <c r="B409" s="209" t="s">
        <v>452</v>
      </c>
      <c r="C409" s="210"/>
      <c r="D409" s="210"/>
      <c r="E409" s="210"/>
      <c r="F409" s="210"/>
      <c r="G409" s="210"/>
      <c r="H409" s="210"/>
      <c r="I409" s="210"/>
      <c r="J409" s="210"/>
      <c r="K409" s="210"/>
      <c r="L409" s="210"/>
      <c r="M409" s="210"/>
      <c r="N409" s="210"/>
      <c r="O409" s="210"/>
      <c r="P409" s="210"/>
      <c r="Q409" s="210"/>
      <c r="R409" s="211"/>
    </row>
    <row r="410" spans="1:18" s="19" customFormat="1" ht="24.95" customHeight="1" thickBot="1" x14ac:dyDescent="0.3">
      <c r="A410" s="110"/>
      <c r="B410" s="212"/>
      <c r="C410" s="213"/>
      <c r="D410" s="213"/>
      <c r="E410" s="213"/>
      <c r="F410" s="213"/>
      <c r="G410" s="213"/>
      <c r="H410" s="213"/>
      <c r="I410" s="213"/>
      <c r="J410" s="213"/>
      <c r="K410" s="213"/>
      <c r="L410" s="213"/>
      <c r="M410" s="213"/>
      <c r="N410" s="213"/>
      <c r="O410" s="213"/>
      <c r="P410" s="213"/>
      <c r="Q410" s="213"/>
      <c r="R410" s="214"/>
    </row>
    <row r="411" spans="1:18" s="7" customFormat="1" ht="27.95" customHeight="1" x14ac:dyDescent="0.25">
      <c r="A411" s="237"/>
      <c r="B411" s="259" t="s">
        <v>2</v>
      </c>
      <c r="C411" s="267" t="s">
        <v>178</v>
      </c>
      <c r="D411" s="267" t="s">
        <v>179</v>
      </c>
      <c r="E411" s="259" t="s">
        <v>3</v>
      </c>
      <c r="F411" s="256" t="s">
        <v>4</v>
      </c>
      <c r="G411" s="260" t="s">
        <v>5</v>
      </c>
      <c r="H411" s="256" t="s">
        <v>6</v>
      </c>
      <c r="I411" s="256" t="s">
        <v>7</v>
      </c>
      <c r="J411" s="256" t="s">
        <v>8</v>
      </c>
      <c r="K411" s="256" t="s">
        <v>9</v>
      </c>
      <c r="L411" s="256" t="s">
        <v>10</v>
      </c>
      <c r="M411" s="256" t="s">
        <v>11</v>
      </c>
      <c r="N411" s="256" t="s">
        <v>12</v>
      </c>
      <c r="O411" s="256" t="s">
        <v>13</v>
      </c>
      <c r="P411" s="256" t="s">
        <v>14</v>
      </c>
      <c r="Q411" s="266" t="s">
        <v>15</v>
      </c>
      <c r="R411" s="230" t="s">
        <v>140</v>
      </c>
    </row>
    <row r="412" spans="1:18" s="7" customFormat="1" ht="33" customHeight="1" thickBot="1" x14ac:dyDescent="0.3">
      <c r="A412" s="269"/>
      <c r="B412" s="240"/>
      <c r="C412" s="270"/>
      <c r="D412" s="270"/>
      <c r="E412" s="263"/>
      <c r="F412" s="264"/>
      <c r="G412" s="265"/>
      <c r="H412" s="264"/>
      <c r="I412" s="264"/>
      <c r="J412" s="228"/>
      <c r="K412" s="228"/>
      <c r="L412" s="228"/>
      <c r="M412" s="228"/>
      <c r="N412" s="229"/>
      <c r="O412" s="229"/>
      <c r="P412" s="228"/>
      <c r="Q412" s="235"/>
      <c r="R412" s="231"/>
    </row>
    <row r="413" spans="1:18" s="21" customFormat="1" ht="60" customHeight="1" x14ac:dyDescent="0.25">
      <c r="A413" s="99">
        <v>119</v>
      </c>
      <c r="B413" s="119" t="s">
        <v>131</v>
      </c>
      <c r="C413" s="99" t="s">
        <v>338</v>
      </c>
      <c r="D413" s="99" t="s">
        <v>339</v>
      </c>
      <c r="E413" s="119" t="s">
        <v>76</v>
      </c>
      <c r="F413" s="79" t="s">
        <v>17</v>
      </c>
      <c r="G413" s="122">
        <v>45778</v>
      </c>
      <c r="H413" s="60">
        <v>283.63</v>
      </c>
      <c r="I413" s="52">
        <f t="shared" ref="I413:I414" si="110">4311*2</f>
        <v>8622</v>
      </c>
      <c r="J413" s="61"/>
      <c r="K413" s="62">
        <f>+H413*45</f>
        <v>12763.35</v>
      </c>
      <c r="L413" s="62">
        <f>+H413*20*0.25</f>
        <v>1418.15</v>
      </c>
      <c r="M413" s="60">
        <v>0</v>
      </c>
      <c r="N413" s="61"/>
      <c r="O413" s="60">
        <f t="shared" ref="O413:O414" si="111">73*2</f>
        <v>146</v>
      </c>
      <c r="P413" s="61"/>
      <c r="Q413" s="63">
        <f t="shared" ref="Q413:Q414" si="112">+I413+M413-O413</f>
        <v>8476</v>
      </c>
      <c r="R413" s="101">
        <f t="shared" ref="R413:R414" si="113">+Q413/2</f>
        <v>4238</v>
      </c>
    </row>
    <row r="414" spans="1:18" s="21" customFormat="1" ht="60" customHeight="1" x14ac:dyDescent="0.25">
      <c r="A414" s="99">
        <v>134</v>
      </c>
      <c r="B414" s="119" t="s">
        <v>355</v>
      </c>
      <c r="C414" s="99" t="s">
        <v>356</v>
      </c>
      <c r="D414" s="99" t="s">
        <v>357</v>
      </c>
      <c r="E414" s="119" t="s">
        <v>370</v>
      </c>
      <c r="F414" s="79" t="s">
        <v>17</v>
      </c>
      <c r="G414" s="122">
        <v>45536</v>
      </c>
      <c r="H414" s="60">
        <v>283.63</v>
      </c>
      <c r="I414" s="52">
        <f t="shared" si="110"/>
        <v>8622</v>
      </c>
      <c r="J414" s="61"/>
      <c r="K414" s="62">
        <f t="shared" ref="K414:K424" si="114">+H414*45</f>
        <v>12763.35</v>
      </c>
      <c r="L414" s="62">
        <f t="shared" ref="L414:L424" si="115">+H414*20*0.25</f>
        <v>1418.15</v>
      </c>
      <c r="M414" s="60">
        <v>0</v>
      </c>
      <c r="N414" s="61"/>
      <c r="O414" s="60">
        <f t="shared" si="111"/>
        <v>146</v>
      </c>
      <c r="P414" s="61"/>
      <c r="Q414" s="63">
        <f t="shared" si="112"/>
        <v>8476</v>
      </c>
      <c r="R414" s="101">
        <f t="shared" si="113"/>
        <v>4238</v>
      </c>
    </row>
    <row r="415" spans="1:18" s="21" customFormat="1" ht="60" customHeight="1" x14ac:dyDescent="0.25">
      <c r="A415" s="99">
        <v>135</v>
      </c>
      <c r="B415" s="119" t="s">
        <v>95</v>
      </c>
      <c r="C415" s="99" t="s">
        <v>358</v>
      </c>
      <c r="D415" s="99" t="s">
        <v>359</v>
      </c>
      <c r="E415" s="119" t="s">
        <v>154</v>
      </c>
      <c r="F415" s="79" t="s">
        <v>16</v>
      </c>
      <c r="G415" s="122">
        <v>45536</v>
      </c>
      <c r="H415" s="50">
        <v>435.42160000000001</v>
      </c>
      <c r="I415" s="62">
        <f>6618*2</f>
        <v>13236</v>
      </c>
      <c r="J415" s="51"/>
      <c r="K415" s="62">
        <f t="shared" si="114"/>
        <v>19593.972000000002</v>
      </c>
      <c r="L415" s="62">
        <f t="shared" si="115"/>
        <v>2177.1080000000002</v>
      </c>
      <c r="M415" s="52">
        <v>0</v>
      </c>
      <c r="N415" s="51"/>
      <c r="O415" s="50">
        <f>618*2</f>
        <v>1236</v>
      </c>
      <c r="P415" s="51"/>
      <c r="Q415" s="54">
        <f>+I415-O415</f>
        <v>12000</v>
      </c>
      <c r="R415" s="101">
        <f t="shared" ref="R415:R424" si="116">+Q415/2</f>
        <v>6000</v>
      </c>
    </row>
    <row r="416" spans="1:18" s="21" customFormat="1" ht="60" customHeight="1" x14ac:dyDescent="0.25">
      <c r="A416" s="99">
        <v>136</v>
      </c>
      <c r="B416" s="119" t="s">
        <v>97</v>
      </c>
      <c r="C416" s="99" t="s">
        <v>360</v>
      </c>
      <c r="D416" s="99" t="s">
        <v>361</v>
      </c>
      <c r="E416" s="119" t="s">
        <v>76</v>
      </c>
      <c r="F416" s="79" t="s">
        <v>17</v>
      </c>
      <c r="G416" s="122">
        <v>45536</v>
      </c>
      <c r="H416" s="60">
        <v>283.63</v>
      </c>
      <c r="I416" s="52">
        <f t="shared" ref="I416:I424" si="117">4311*2</f>
        <v>8622</v>
      </c>
      <c r="J416" s="61"/>
      <c r="K416" s="62">
        <f t="shared" si="114"/>
        <v>12763.35</v>
      </c>
      <c r="L416" s="62">
        <f t="shared" si="115"/>
        <v>1418.15</v>
      </c>
      <c r="M416" s="60">
        <v>0</v>
      </c>
      <c r="N416" s="61"/>
      <c r="O416" s="60">
        <f t="shared" ref="O416:O424" si="118">73*2</f>
        <v>146</v>
      </c>
      <c r="P416" s="61"/>
      <c r="Q416" s="63">
        <f t="shared" ref="Q416:Q424" si="119">+I416+M416-O416</f>
        <v>8476</v>
      </c>
      <c r="R416" s="101">
        <f t="shared" si="116"/>
        <v>4238</v>
      </c>
    </row>
    <row r="417" spans="1:18" s="21" customFormat="1" ht="60" customHeight="1" x14ac:dyDescent="0.25">
      <c r="A417" s="99">
        <v>137</v>
      </c>
      <c r="B417" s="119" t="s">
        <v>96</v>
      </c>
      <c r="C417" s="99" t="s">
        <v>362</v>
      </c>
      <c r="D417" s="99" t="s">
        <v>363</v>
      </c>
      <c r="E417" s="119" t="s">
        <v>76</v>
      </c>
      <c r="F417" s="79" t="s">
        <v>17</v>
      </c>
      <c r="G417" s="122">
        <v>45536</v>
      </c>
      <c r="H417" s="60">
        <v>283.63</v>
      </c>
      <c r="I417" s="52">
        <f t="shared" si="117"/>
        <v>8622</v>
      </c>
      <c r="J417" s="61"/>
      <c r="K417" s="62">
        <f t="shared" si="114"/>
        <v>12763.35</v>
      </c>
      <c r="L417" s="62">
        <f t="shared" si="115"/>
        <v>1418.15</v>
      </c>
      <c r="M417" s="60">
        <v>0</v>
      </c>
      <c r="N417" s="61"/>
      <c r="O417" s="60">
        <f t="shared" si="118"/>
        <v>146</v>
      </c>
      <c r="P417" s="61"/>
      <c r="Q417" s="63">
        <f t="shared" si="119"/>
        <v>8476</v>
      </c>
      <c r="R417" s="101">
        <f t="shared" si="116"/>
        <v>4238</v>
      </c>
    </row>
    <row r="418" spans="1:18" s="21" customFormat="1" ht="60" customHeight="1" x14ac:dyDescent="0.25">
      <c r="A418" s="99">
        <v>138</v>
      </c>
      <c r="B418" s="119" t="s">
        <v>159</v>
      </c>
      <c r="C418" s="99" t="s">
        <v>364</v>
      </c>
      <c r="D418" s="99" t="s">
        <v>365</v>
      </c>
      <c r="E418" s="119" t="s">
        <v>76</v>
      </c>
      <c r="F418" s="79" t="s">
        <v>17</v>
      </c>
      <c r="G418" s="122">
        <v>45536</v>
      </c>
      <c r="H418" s="60">
        <v>283.63</v>
      </c>
      <c r="I418" s="52">
        <f t="shared" si="117"/>
        <v>8622</v>
      </c>
      <c r="J418" s="61"/>
      <c r="K418" s="62">
        <f t="shared" si="114"/>
        <v>12763.35</v>
      </c>
      <c r="L418" s="62">
        <f t="shared" si="115"/>
        <v>1418.15</v>
      </c>
      <c r="M418" s="60">
        <v>0</v>
      </c>
      <c r="N418" s="61"/>
      <c r="O418" s="60">
        <f t="shared" si="118"/>
        <v>146</v>
      </c>
      <c r="P418" s="61"/>
      <c r="Q418" s="63">
        <f t="shared" si="119"/>
        <v>8476</v>
      </c>
      <c r="R418" s="101">
        <f t="shared" si="116"/>
        <v>4238</v>
      </c>
    </row>
    <row r="419" spans="1:18" s="21" customFormat="1" ht="60" customHeight="1" x14ac:dyDescent="0.25">
      <c r="A419" s="99">
        <v>139</v>
      </c>
      <c r="B419" s="119" t="s">
        <v>164</v>
      </c>
      <c r="C419" s="99" t="s">
        <v>366</v>
      </c>
      <c r="D419" s="99" t="s">
        <v>367</v>
      </c>
      <c r="E419" s="119" t="s">
        <v>76</v>
      </c>
      <c r="F419" s="79" t="s">
        <v>17</v>
      </c>
      <c r="G419" s="122">
        <v>45551</v>
      </c>
      <c r="H419" s="60">
        <v>283.63</v>
      </c>
      <c r="I419" s="52">
        <f t="shared" si="117"/>
        <v>8622</v>
      </c>
      <c r="J419" s="61"/>
      <c r="K419" s="62">
        <f t="shared" si="114"/>
        <v>12763.35</v>
      </c>
      <c r="L419" s="62">
        <f t="shared" si="115"/>
        <v>1418.15</v>
      </c>
      <c r="M419" s="60">
        <v>0</v>
      </c>
      <c r="N419" s="61"/>
      <c r="O419" s="60">
        <f t="shared" si="118"/>
        <v>146</v>
      </c>
      <c r="P419" s="61"/>
      <c r="Q419" s="63">
        <f t="shared" si="119"/>
        <v>8476</v>
      </c>
      <c r="R419" s="101">
        <f t="shared" si="116"/>
        <v>4238</v>
      </c>
    </row>
    <row r="420" spans="1:18" s="21" customFormat="1" ht="60" customHeight="1" x14ac:dyDescent="0.25">
      <c r="A420" s="99">
        <v>140</v>
      </c>
      <c r="B420" s="119" t="s">
        <v>160</v>
      </c>
      <c r="C420" s="99" t="s">
        <v>368</v>
      </c>
      <c r="D420" s="99" t="s">
        <v>369</v>
      </c>
      <c r="E420" s="119" t="s">
        <v>76</v>
      </c>
      <c r="F420" s="79" t="s">
        <v>17</v>
      </c>
      <c r="G420" s="122">
        <v>45551</v>
      </c>
      <c r="H420" s="60">
        <v>283.63</v>
      </c>
      <c r="I420" s="52">
        <f t="shared" si="117"/>
        <v>8622</v>
      </c>
      <c r="J420" s="61"/>
      <c r="K420" s="62">
        <f t="shared" si="114"/>
        <v>12763.35</v>
      </c>
      <c r="L420" s="62">
        <f t="shared" si="115"/>
        <v>1418.15</v>
      </c>
      <c r="M420" s="60">
        <v>0</v>
      </c>
      <c r="N420" s="61"/>
      <c r="O420" s="60">
        <f t="shared" si="118"/>
        <v>146</v>
      </c>
      <c r="P420" s="61"/>
      <c r="Q420" s="63">
        <f t="shared" si="119"/>
        <v>8476</v>
      </c>
      <c r="R420" s="101">
        <f t="shared" si="116"/>
        <v>4238</v>
      </c>
    </row>
    <row r="421" spans="1:18" s="21" customFormat="1" ht="60" customHeight="1" x14ac:dyDescent="0.25">
      <c r="A421" s="99">
        <v>147</v>
      </c>
      <c r="B421" s="119" t="s">
        <v>537</v>
      </c>
      <c r="C421" s="99" t="s">
        <v>538</v>
      </c>
      <c r="D421" s="99" t="s">
        <v>539</v>
      </c>
      <c r="E421" s="119" t="s">
        <v>76</v>
      </c>
      <c r="F421" s="79" t="s">
        <v>17</v>
      </c>
      <c r="G421" s="122">
        <v>45717</v>
      </c>
      <c r="H421" s="60">
        <v>283.63</v>
      </c>
      <c r="I421" s="52">
        <f t="shared" si="117"/>
        <v>8622</v>
      </c>
      <c r="J421" s="61"/>
      <c r="K421" s="62">
        <f t="shared" si="114"/>
        <v>12763.35</v>
      </c>
      <c r="L421" s="62">
        <f t="shared" si="115"/>
        <v>1418.15</v>
      </c>
      <c r="M421" s="60">
        <v>0</v>
      </c>
      <c r="N421" s="61"/>
      <c r="O421" s="60">
        <f t="shared" si="118"/>
        <v>146</v>
      </c>
      <c r="P421" s="61"/>
      <c r="Q421" s="63">
        <f t="shared" si="119"/>
        <v>8476</v>
      </c>
      <c r="R421" s="101">
        <f t="shared" si="116"/>
        <v>4238</v>
      </c>
    </row>
    <row r="422" spans="1:18" s="21" customFormat="1" ht="60" customHeight="1" x14ac:dyDescent="0.25">
      <c r="A422" s="99">
        <v>152</v>
      </c>
      <c r="B422" s="119" t="s">
        <v>540</v>
      </c>
      <c r="C422" s="99" t="s">
        <v>541</v>
      </c>
      <c r="D422" s="99" t="s">
        <v>542</v>
      </c>
      <c r="E422" s="119" t="s">
        <v>76</v>
      </c>
      <c r="F422" s="79" t="s">
        <v>17</v>
      </c>
      <c r="G422" s="122">
        <v>45810</v>
      </c>
      <c r="H422" s="60">
        <v>283.63</v>
      </c>
      <c r="I422" s="52">
        <f t="shared" si="117"/>
        <v>8622</v>
      </c>
      <c r="J422" s="61"/>
      <c r="K422" s="62">
        <f t="shared" si="114"/>
        <v>12763.35</v>
      </c>
      <c r="L422" s="62">
        <f t="shared" si="115"/>
        <v>1418.15</v>
      </c>
      <c r="M422" s="60">
        <v>0</v>
      </c>
      <c r="N422" s="61"/>
      <c r="O422" s="60">
        <f t="shared" si="118"/>
        <v>146</v>
      </c>
      <c r="P422" s="61"/>
      <c r="Q422" s="63">
        <f t="shared" si="119"/>
        <v>8476</v>
      </c>
      <c r="R422" s="101">
        <f t="shared" si="116"/>
        <v>4238</v>
      </c>
    </row>
    <row r="423" spans="1:18" s="21" customFormat="1" ht="60" customHeight="1" x14ac:dyDescent="0.25">
      <c r="A423" s="99">
        <v>155</v>
      </c>
      <c r="B423" s="119" t="s">
        <v>543</v>
      </c>
      <c r="C423" s="99" t="s">
        <v>544</v>
      </c>
      <c r="D423" s="99" t="s">
        <v>545</v>
      </c>
      <c r="E423" s="119" t="s">
        <v>76</v>
      </c>
      <c r="F423" s="79" t="s">
        <v>17</v>
      </c>
      <c r="G423" s="122">
        <v>45854</v>
      </c>
      <c r="H423" s="60">
        <v>283.63</v>
      </c>
      <c r="I423" s="52">
        <f t="shared" si="117"/>
        <v>8622</v>
      </c>
      <c r="J423" s="61"/>
      <c r="K423" s="62">
        <f t="shared" si="114"/>
        <v>12763.35</v>
      </c>
      <c r="L423" s="62">
        <f t="shared" si="115"/>
        <v>1418.15</v>
      </c>
      <c r="M423" s="60">
        <v>0</v>
      </c>
      <c r="N423" s="61"/>
      <c r="O423" s="60">
        <f t="shared" si="118"/>
        <v>146</v>
      </c>
      <c r="P423" s="61"/>
      <c r="Q423" s="63">
        <f t="shared" si="119"/>
        <v>8476</v>
      </c>
      <c r="R423" s="101">
        <f t="shared" si="116"/>
        <v>4238</v>
      </c>
    </row>
    <row r="424" spans="1:18" s="21" customFormat="1" ht="60" customHeight="1" x14ac:dyDescent="0.25">
      <c r="A424" s="99">
        <v>156</v>
      </c>
      <c r="B424" s="119" t="s">
        <v>546</v>
      </c>
      <c r="C424" s="99" t="s">
        <v>547</v>
      </c>
      <c r="D424" s="99" t="s">
        <v>548</v>
      </c>
      <c r="E424" s="119" t="s">
        <v>76</v>
      </c>
      <c r="F424" s="79" t="s">
        <v>17</v>
      </c>
      <c r="G424" s="122">
        <v>45901</v>
      </c>
      <c r="H424" s="60">
        <v>283.63</v>
      </c>
      <c r="I424" s="52">
        <f t="shared" si="117"/>
        <v>8622</v>
      </c>
      <c r="J424" s="61"/>
      <c r="K424" s="62">
        <f t="shared" si="114"/>
        <v>12763.35</v>
      </c>
      <c r="L424" s="62">
        <f t="shared" si="115"/>
        <v>1418.15</v>
      </c>
      <c r="M424" s="60">
        <v>0</v>
      </c>
      <c r="N424" s="61"/>
      <c r="O424" s="60">
        <f t="shared" si="118"/>
        <v>146</v>
      </c>
      <c r="P424" s="61"/>
      <c r="Q424" s="63">
        <f t="shared" si="119"/>
        <v>8476</v>
      </c>
      <c r="R424" s="101">
        <f t="shared" si="116"/>
        <v>4238</v>
      </c>
    </row>
    <row r="425" spans="1:18" s="19" customFormat="1" ht="30" customHeight="1" thickBot="1" x14ac:dyDescent="0.3">
      <c r="A425" s="21"/>
      <c r="B425" s="55" t="s">
        <v>19</v>
      </c>
      <c r="C425" s="55"/>
      <c r="D425" s="55"/>
      <c r="E425" s="83"/>
      <c r="G425" s="21"/>
      <c r="H425" s="89"/>
      <c r="I425" s="89"/>
      <c r="J425" s="89"/>
      <c r="K425" s="89"/>
      <c r="L425" s="89"/>
      <c r="M425" s="96"/>
      <c r="N425" s="97"/>
      <c r="O425" s="96"/>
      <c r="P425" s="97"/>
      <c r="Q425" s="97"/>
      <c r="R425" s="130"/>
    </row>
    <row r="426" spans="1:18" s="19" customFormat="1" ht="30" customHeight="1" thickBot="1" x14ac:dyDescent="0.3">
      <c r="A426" s="21"/>
      <c r="B426" s="55" t="s">
        <v>20</v>
      </c>
      <c r="C426" s="55"/>
      <c r="D426" s="55"/>
      <c r="E426" s="83"/>
      <c r="F426" s="218" t="s">
        <v>18</v>
      </c>
      <c r="G426" s="219"/>
      <c r="H426" s="219"/>
      <c r="I426" s="17">
        <f>SUM(I413:I425)</f>
        <v>108078</v>
      </c>
      <c r="J426" s="17">
        <f t="shared" ref="J426:R426" si="120">SUM(J413:J424)</f>
        <v>0</v>
      </c>
      <c r="K426" s="17">
        <f t="shared" si="120"/>
        <v>159990.82200000004</v>
      </c>
      <c r="L426" s="17">
        <f t="shared" si="120"/>
        <v>17776.757999999998</v>
      </c>
      <c r="M426" s="17">
        <f t="shared" si="120"/>
        <v>0</v>
      </c>
      <c r="N426" s="17">
        <f t="shared" si="120"/>
        <v>0</v>
      </c>
      <c r="O426" s="17">
        <f t="shared" si="120"/>
        <v>2842</v>
      </c>
      <c r="P426" s="17">
        <f t="shared" si="120"/>
        <v>0</v>
      </c>
      <c r="Q426" s="33">
        <f t="shared" si="120"/>
        <v>105236</v>
      </c>
      <c r="R426" s="98">
        <f t="shared" si="120"/>
        <v>52618</v>
      </c>
    </row>
    <row r="427" spans="1:18" ht="30" customHeight="1" thickBot="1" x14ac:dyDescent="0.3">
      <c r="A427" s="9"/>
      <c r="B427" s="55" t="s">
        <v>21</v>
      </c>
      <c r="C427" s="55"/>
      <c r="D427" s="55"/>
      <c r="E427" s="55"/>
      <c r="F427" s="273"/>
      <c r="G427" s="274"/>
      <c r="H427" s="291"/>
      <c r="I427" s="151">
        <f>+I426*12</f>
        <v>1296936</v>
      </c>
      <c r="J427" s="153">
        <f t="shared" ref="J427:R427" si="121">+J426*12</f>
        <v>0</v>
      </c>
      <c r="K427" s="151">
        <f>+K426</f>
        <v>159990.82200000004</v>
      </c>
      <c r="L427" s="153">
        <f>+L426</f>
        <v>17776.757999999998</v>
      </c>
      <c r="M427" s="151">
        <f t="shared" si="121"/>
        <v>0</v>
      </c>
      <c r="N427" s="153">
        <f t="shared" si="121"/>
        <v>0</v>
      </c>
      <c r="O427" s="151">
        <f t="shared" si="121"/>
        <v>34104</v>
      </c>
      <c r="P427" s="153">
        <f t="shared" si="121"/>
        <v>0</v>
      </c>
      <c r="Q427" s="151">
        <f t="shared" si="121"/>
        <v>1262832</v>
      </c>
      <c r="R427" s="153">
        <f t="shared" si="121"/>
        <v>631416</v>
      </c>
    </row>
    <row r="428" spans="1:18" ht="30" customHeight="1" x14ac:dyDescent="0.25">
      <c r="A428" s="9"/>
      <c r="B428" s="40" t="s">
        <v>22</v>
      </c>
      <c r="C428" s="40"/>
      <c r="D428" s="40"/>
      <c r="E428" s="23"/>
      <c r="F428" s="10"/>
      <c r="G428" s="10"/>
      <c r="H428" s="10"/>
      <c r="I428" s="11"/>
      <c r="J428" s="11"/>
      <c r="K428" s="11"/>
      <c r="L428" s="11"/>
      <c r="M428" s="11"/>
      <c r="N428" s="11"/>
      <c r="O428" s="11"/>
      <c r="P428" s="11"/>
      <c r="Q428" s="11"/>
      <c r="R428" s="134"/>
    </row>
    <row r="429" spans="1:18" ht="30" customHeight="1" x14ac:dyDescent="0.25">
      <c r="A429" s="9"/>
      <c r="B429" s="40" t="s">
        <v>23</v>
      </c>
      <c r="C429" s="40"/>
      <c r="D429" s="40"/>
      <c r="E429" s="23"/>
      <c r="F429" s="10"/>
      <c r="G429" s="10"/>
      <c r="H429" s="10"/>
      <c r="I429" s="11"/>
      <c r="J429" s="11"/>
      <c r="K429" s="11"/>
      <c r="L429" s="11"/>
      <c r="M429" s="11"/>
      <c r="N429" s="11"/>
      <c r="O429" s="11"/>
      <c r="P429" s="11"/>
      <c r="Q429" s="11"/>
      <c r="R429" s="137"/>
    </row>
    <row r="430" spans="1:18" ht="18" customHeight="1" x14ac:dyDescent="0.25">
      <c r="A430" s="9"/>
      <c r="B430" s="191" t="s">
        <v>549</v>
      </c>
      <c r="C430" s="41"/>
      <c r="D430" s="41"/>
      <c r="E430" s="23"/>
      <c r="F430" s="10"/>
      <c r="G430" s="10"/>
      <c r="H430" s="10"/>
      <c r="I430" s="11"/>
      <c r="J430" s="11"/>
      <c r="K430" s="11"/>
      <c r="L430" s="11"/>
      <c r="M430" s="11"/>
      <c r="N430" s="11"/>
      <c r="O430" s="11"/>
      <c r="P430" s="11"/>
      <c r="Q430" s="11"/>
      <c r="R430" s="11"/>
    </row>
    <row r="431" spans="1:18" s="181" customFormat="1" ht="18" customHeight="1" x14ac:dyDescent="0.25">
      <c r="A431" s="175"/>
      <c r="B431" s="184"/>
      <c r="C431" s="184"/>
      <c r="D431" s="184"/>
      <c r="E431" s="182"/>
      <c r="F431" s="178"/>
      <c r="G431" s="178"/>
      <c r="H431" s="178"/>
      <c r="I431" s="183"/>
      <c r="J431" s="183"/>
      <c r="K431" s="11"/>
      <c r="L431" s="11"/>
      <c r="M431" s="183"/>
      <c r="N431" s="183"/>
      <c r="O431" s="183"/>
      <c r="P431" s="183"/>
      <c r="Q431" s="183"/>
      <c r="R431" s="185"/>
    </row>
    <row r="432" spans="1:18" ht="18" customHeight="1" x14ac:dyDescent="0.25">
      <c r="A432" s="9"/>
      <c r="B432" s="41"/>
      <c r="C432" s="41"/>
      <c r="D432" s="41"/>
      <c r="E432" s="23"/>
      <c r="F432" s="10"/>
      <c r="G432" s="10"/>
      <c r="H432" s="10"/>
      <c r="I432" s="11"/>
      <c r="J432" s="11"/>
      <c r="K432" s="11"/>
      <c r="L432" s="11"/>
      <c r="M432" s="11"/>
      <c r="N432" s="11"/>
      <c r="O432" s="11"/>
      <c r="P432" s="11"/>
      <c r="Q432" s="11"/>
    </row>
    <row r="433" spans="1:17" ht="18" customHeight="1" x14ac:dyDescent="0.25">
      <c r="A433" s="9"/>
      <c r="B433" s="41"/>
      <c r="C433" s="41"/>
      <c r="D433" s="41"/>
      <c r="E433" s="23"/>
      <c r="F433" s="10"/>
      <c r="G433" s="10"/>
      <c r="H433" s="10"/>
      <c r="I433" s="11"/>
      <c r="J433" s="11"/>
      <c r="K433" s="11"/>
      <c r="L433" s="11"/>
      <c r="M433" s="11"/>
      <c r="N433" s="11"/>
      <c r="O433" s="11"/>
      <c r="P433" s="11"/>
      <c r="Q433" s="11"/>
    </row>
    <row r="434" spans="1:17" ht="18" customHeight="1" x14ac:dyDescent="0.25">
      <c r="A434" s="9"/>
      <c r="B434" s="41"/>
      <c r="C434" s="41"/>
      <c r="D434" s="41"/>
      <c r="E434" s="23"/>
      <c r="F434" s="10"/>
      <c r="G434" s="10"/>
      <c r="H434" s="10"/>
      <c r="I434" s="11"/>
      <c r="J434" s="11"/>
      <c r="K434" s="11"/>
      <c r="L434" s="11"/>
      <c r="M434" s="11"/>
      <c r="N434" s="11"/>
      <c r="O434" s="11"/>
      <c r="P434" s="11"/>
      <c r="Q434" s="11"/>
    </row>
    <row r="435" spans="1:17" ht="18" customHeight="1" x14ac:dyDescent="0.25">
      <c r="A435" s="9"/>
      <c r="B435" s="41"/>
      <c r="C435" s="41"/>
      <c r="D435" s="41"/>
      <c r="E435" s="23"/>
      <c r="F435" s="10"/>
      <c r="G435" s="10"/>
      <c r="H435" s="10"/>
      <c r="I435" s="11"/>
      <c r="J435" s="11"/>
      <c r="K435" s="11"/>
      <c r="L435" s="11"/>
      <c r="M435" s="11"/>
      <c r="N435" s="11"/>
      <c r="O435" s="11"/>
      <c r="P435" s="11"/>
      <c r="Q435" s="11"/>
    </row>
    <row r="436" spans="1:17" ht="18" customHeight="1" x14ac:dyDescent="0.25">
      <c r="A436" s="9"/>
      <c r="B436" s="41"/>
      <c r="C436" s="41"/>
      <c r="D436" s="41"/>
      <c r="E436" s="23"/>
      <c r="F436" s="10"/>
      <c r="G436" s="10"/>
      <c r="H436" s="10"/>
      <c r="I436" s="11"/>
      <c r="J436" s="11"/>
      <c r="K436" s="11"/>
      <c r="L436" s="11"/>
      <c r="M436" s="11"/>
      <c r="N436" s="11"/>
      <c r="O436" s="11"/>
      <c r="P436" s="11"/>
      <c r="Q436" s="11"/>
    </row>
    <row r="437" spans="1:17" ht="18" customHeight="1" x14ac:dyDescent="0.25">
      <c r="A437" s="9"/>
      <c r="B437" s="41"/>
      <c r="C437" s="41"/>
      <c r="D437" s="41"/>
      <c r="E437" s="23"/>
      <c r="F437" s="10"/>
      <c r="G437" s="10"/>
      <c r="H437" s="10"/>
      <c r="I437" s="11"/>
      <c r="J437" s="11"/>
      <c r="K437" s="11"/>
      <c r="L437" s="11"/>
      <c r="M437" s="11"/>
      <c r="N437" s="11"/>
      <c r="O437" s="11"/>
      <c r="P437" s="11"/>
      <c r="Q437" s="11"/>
    </row>
    <row r="438" spans="1:17" ht="18" customHeight="1" x14ac:dyDescent="0.25">
      <c r="A438" s="9"/>
      <c r="B438" s="41"/>
      <c r="C438" s="41"/>
      <c r="D438" s="41"/>
      <c r="E438" s="23"/>
      <c r="F438" s="10"/>
      <c r="G438" s="10"/>
      <c r="H438" s="10"/>
      <c r="I438" s="11"/>
      <c r="J438" s="11"/>
      <c r="K438" s="11"/>
      <c r="L438" s="11"/>
      <c r="M438" s="11"/>
      <c r="N438" s="11"/>
      <c r="O438" s="11"/>
      <c r="P438" s="11"/>
      <c r="Q438" s="11"/>
    </row>
    <row r="439" spans="1:17" ht="18" customHeight="1" x14ac:dyDescent="0.25">
      <c r="A439" s="9"/>
      <c r="B439" s="41"/>
      <c r="C439" s="41"/>
      <c r="D439" s="41"/>
      <c r="E439" s="23"/>
      <c r="F439" s="10"/>
      <c r="G439" s="10"/>
      <c r="H439" s="10"/>
      <c r="I439" s="11"/>
      <c r="J439" s="11"/>
      <c r="K439" s="11"/>
      <c r="L439" s="11"/>
      <c r="M439" s="11"/>
      <c r="N439" s="11"/>
      <c r="O439" s="11"/>
      <c r="P439" s="11"/>
      <c r="Q439" s="11"/>
    </row>
    <row r="440" spans="1:17" ht="18" customHeight="1" x14ac:dyDescent="0.25">
      <c r="A440" s="9"/>
      <c r="B440" s="41"/>
      <c r="C440" s="41"/>
      <c r="D440" s="41"/>
      <c r="E440" s="23"/>
      <c r="F440" s="10"/>
      <c r="G440" s="10"/>
      <c r="H440" s="10"/>
      <c r="I440" s="11"/>
      <c r="J440" s="11"/>
      <c r="K440" s="11"/>
      <c r="L440" s="11"/>
      <c r="M440" s="11"/>
      <c r="N440" s="11"/>
      <c r="O440" s="11"/>
      <c r="P440" s="11"/>
      <c r="Q440" s="11"/>
    </row>
    <row r="441" spans="1:17" ht="18" customHeight="1" x14ac:dyDescent="0.25">
      <c r="A441" s="9"/>
      <c r="B441" s="41"/>
      <c r="C441" s="41"/>
      <c r="D441" s="41"/>
      <c r="E441" s="23"/>
      <c r="F441" s="10"/>
      <c r="G441" s="10"/>
      <c r="H441" s="10"/>
      <c r="I441" s="11"/>
      <c r="J441" s="11"/>
      <c r="K441" s="11"/>
      <c r="L441" s="11"/>
      <c r="M441" s="11"/>
      <c r="N441" s="11"/>
      <c r="O441" s="11"/>
      <c r="P441" s="11"/>
      <c r="Q441" s="11"/>
    </row>
    <row r="442" spans="1:17" ht="18" customHeight="1" x14ac:dyDescent="0.25">
      <c r="A442" s="9"/>
      <c r="B442" s="41"/>
      <c r="C442" s="41"/>
      <c r="D442" s="41"/>
      <c r="E442" s="23"/>
      <c r="F442" s="10"/>
      <c r="G442" s="10"/>
      <c r="H442" s="10"/>
      <c r="I442" s="11"/>
      <c r="J442" s="11"/>
      <c r="K442" s="11"/>
      <c r="L442" s="11"/>
      <c r="M442" s="11"/>
      <c r="N442" s="11"/>
      <c r="O442" s="11"/>
      <c r="P442" s="11"/>
      <c r="Q442" s="11"/>
    </row>
    <row r="443" spans="1:17" ht="18" customHeight="1" x14ac:dyDescent="0.25">
      <c r="A443" s="9"/>
      <c r="B443" s="41"/>
      <c r="C443" s="41"/>
      <c r="D443" s="41"/>
      <c r="E443" s="23"/>
      <c r="F443" s="10"/>
      <c r="G443" s="10"/>
      <c r="H443" s="10"/>
      <c r="I443" s="11"/>
      <c r="J443" s="11"/>
      <c r="K443" s="11"/>
      <c r="L443" s="11"/>
      <c r="M443" s="11"/>
      <c r="N443" s="11"/>
      <c r="O443" s="11"/>
      <c r="P443" s="11"/>
      <c r="Q443" s="11"/>
    </row>
    <row r="444" spans="1:17" ht="18" customHeight="1" x14ac:dyDescent="0.25">
      <c r="A444" s="9"/>
      <c r="B444" s="41"/>
      <c r="C444" s="41"/>
      <c r="D444" s="41"/>
      <c r="E444" s="23"/>
      <c r="F444" s="10"/>
      <c r="G444" s="10"/>
      <c r="H444" s="10"/>
      <c r="I444" s="11"/>
      <c r="J444" s="11"/>
      <c r="K444" s="11"/>
      <c r="L444" s="11"/>
      <c r="M444" s="11"/>
      <c r="N444" s="11"/>
      <c r="O444" s="11"/>
      <c r="P444" s="11"/>
      <c r="Q444" s="11"/>
    </row>
    <row r="445" spans="1:17" ht="18" customHeight="1" x14ac:dyDescent="0.25">
      <c r="A445" s="9"/>
      <c r="B445" s="41"/>
      <c r="C445" s="41"/>
      <c r="D445" s="41"/>
      <c r="E445" s="23"/>
      <c r="F445" s="10"/>
      <c r="G445" s="10"/>
      <c r="H445" s="10"/>
      <c r="I445" s="11"/>
      <c r="J445" s="11"/>
      <c r="K445" s="11"/>
      <c r="L445" s="11"/>
      <c r="M445" s="11"/>
      <c r="N445" s="11"/>
      <c r="O445" s="11"/>
      <c r="P445" s="11"/>
      <c r="Q445" s="11"/>
    </row>
    <row r="446" spans="1:17" ht="18" customHeight="1" x14ac:dyDescent="0.25">
      <c r="A446" s="9"/>
      <c r="B446" s="41"/>
      <c r="C446" s="41"/>
      <c r="D446" s="41"/>
      <c r="E446" s="23"/>
      <c r="F446" s="10"/>
      <c r="G446" s="10"/>
      <c r="H446" s="10"/>
      <c r="I446" s="11"/>
      <c r="J446" s="11"/>
      <c r="K446" s="11"/>
      <c r="L446" s="11"/>
      <c r="M446" s="11"/>
      <c r="N446" s="11"/>
      <c r="O446" s="11"/>
      <c r="P446" s="11"/>
      <c r="Q446" s="11"/>
    </row>
    <row r="447" spans="1:17" ht="18" customHeight="1" x14ac:dyDescent="0.25">
      <c r="A447" s="9"/>
      <c r="B447" s="41"/>
      <c r="C447" s="41"/>
      <c r="D447" s="41"/>
      <c r="E447" s="23"/>
      <c r="F447" s="10"/>
      <c r="G447" s="10"/>
      <c r="H447" s="10"/>
      <c r="I447" s="11"/>
      <c r="J447" s="11"/>
      <c r="K447" s="11"/>
      <c r="L447" s="11"/>
      <c r="M447" s="11"/>
      <c r="N447" s="11"/>
      <c r="O447" s="11"/>
      <c r="P447" s="11"/>
      <c r="Q447" s="11"/>
    </row>
    <row r="448" spans="1:17" ht="18" customHeight="1" x14ac:dyDescent="0.25">
      <c r="A448" s="9"/>
      <c r="B448" s="41"/>
      <c r="C448" s="41"/>
      <c r="D448" s="41"/>
      <c r="E448" s="23"/>
      <c r="F448" s="10"/>
      <c r="G448" s="10"/>
      <c r="H448" s="10"/>
      <c r="I448" s="11"/>
      <c r="J448" s="11"/>
      <c r="K448" s="11"/>
      <c r="L448" s="11"/>
      <c r="M448" s="11"/>
      <c r="N448" s="11"/>
      <c r="O448" s="11"/>
      <c r="P448" s="11"/>
      <c r="Q448" s="11"/>
    </row>
    <row r="449" spans="1:17" ht="18" customHeight="1" x14ac:dyDescent="0.25">
      <c r="A449" s="9"/>
      <c r="B449" s="41"/>
      <c r="C449" s="41"/>
      <c r="D449" s="41"/>
      <c r="E449" s="23"/>
      <c r="F449" s="10"/>
      <c r="G449" s="10"/>
      <c r="H449" s="10"/>
      <c r="I449" s="11"/>
      <c r="J449" s="11"/>
      <c r="K449" s="11"/>
      <c r="L449" s="11"/>
      <c r="M449" s="11"/>
      <c r="N449" s="11"/>
      <c r="O449" s="11"/>
      <c r="P449" s="11"/>
      <c r="Q449" s="11"/>
    </row>
    <row r="450" spans="1:17" ht="18" customHeight="1" x14ac:dyDescent="0.25">
      <c r="A450" s="9"/>
      <c r="B450" s="41"/>
      <c r="C450" s="41"/>
      <c r="D450" s="41"/>
      <c r="E450" s="23"/>
      <c r="F450" s="10"/>
      <c r="G450" s="10"/>
      <c r="H450" s="10"/>
      <c r="I450" s="11"/>
      <c r="J450" s="11"/>
      <c r="K450" s="11"/>
      <c r="L450" s="11"/>
      <c r="M450" s="11"/>
      <c r="N450" s="11"/>
      <c r="O450" s="11"/>
      <c r="P450" s="11"/>
      <c r="Q450" s="11"/>
    </row>
    <row r="451" spans="1:17" ht="18" customHeight="1" x14ac:dyDescent="0.25">
      <c r="A451" s="9"/>
      <c r="B451" s="41"/>
      <c r="C451" s="41"/>
      <c r="D451" s="41"/>
      <c r="E451" s="23"/>
      <c r="F451" s="10"/>
      <c r="G451" s="10"/>
      <c r="H451" s="10"/>
      <c r="I451" s="11"/>
      <c r="J451" s="11"/>
      <c r="K451" s="11"/>
      <c r="L451" s="11"/>
      <c r="M451" s="11"/>
      <c r="N451" s="11"/>
      <c r="O451" s="11"/>
      <c r="P451" s="11"/>
      <c r="Q451" s="11"/>
    </row>
    <row r="452" spans="1:17" ht="18" customHeight="1" x14ac:dyDescent="0.25">
      <c r="A452" s="9"/>
      <c r="B452" s="41"/>
      <c r="C452" s="41"/>
      <c r="D452" s="41"/>
      <c r="E452" s="23"/>
      <c r="F452" s="10"/>
      <c r="G452" s="10"/>
      <c r="H452" s="10"/>
      <c r="I452" s="11"/>
      <c r="J452" s="11"/>
      <c r="K452" s="11"/>
      <c r="L452" s="11"/>
      <c r="M452" s="11"/>
      <c r="N452" s="11"/>
      <c r="O452" s="11"/>
      <c r="P452" s="11"/>
      <c r="Q452" s="11"/>
    </row>
    <row r="453" spans="1:17" ht="18" customHeight="1" x14ac:dyDescent="0.25">
      <c r="A453" s="9"/>
      <c r="B453" s="41"/>
      <c r="C453" s="41"/>
      <c r="D453" s="41"/>
      <c r="E453" s="23"/>
      <c r="F453" s="10"/>
      <c r="G453" s="10"/>
      <c r="H453" s="10"/>
      <c r="I453" s="11"/>
      <c r="J453" s="11"/>
      <c r="K453" s="11"/>
      <c r="L453" s="11"/>
      <c r="M453" s="11"/>
      <c r="N453" s="11"/>
      <c r="O453" s="11"/>
      <c r="P453" s="11"/>
      <c r="Q453" s="11"/>
    </row>
    <row r="454" spans="1:17" ht="18" customHeight="1" x14ac:dyDescent="0.25">
      <c r="A454" s="9"/>
      <c r="B454" s="41"/>
      <c r="C454" s="41"/>
      <c r="D454" s="41"/>
      <c r="E454" s="23"/>
      <c r="F454" s="10"/>
      <c r="G454" s="10"/>
      <c r="H454" s="10"/>
      <c r="I454" s="11"/>
      <c r="J454" s="11"/>
      <c r="K454" s="11"/>
      <c r="L454" s="11"/>
      <c r="M454" s="11"/>
      <c r="N454" s="11"/>
      <c r="O454" s="11"/>
      <c r="P454" s="11"/>
      <c r="Q454" s="11"/>
    </row>
    <row r="455" spans="1:17" ht="18.75" customHeight="1" x14ac:dyDescent="0.25">
      <c r="L455" s="4"/>
    </row>
  </sheetData>
  <mergeCells count="442">
    <mergeCell ref="F89:H89"/>
    <mergeCell ref="F72:H72"/>
    <mergeCell ref="F51:H51"/>
    <mergeCell ref="F34:H34"/>
    <mergeCell ref="F401:H401"/>
    <mergeCell ref="A41:Q41"/>
    <mergeCell ref="A44:A45"/>
    <mergeCell ref="L350:L351"/>
    <mergeCell ref="M350:M351"/>
    <mergeCell ref="N350:N351"/>
    <mergeCell ref="O350:O351"/>
    <mergeCell ref="P350:P351"/>
    <mergeCell ref="Q350:Q351"/>
    <mergeCell ref="F354:H354"/>
    <mergeCell ref="C44:C45"/>
    <mergeCell ref="D44:D45"/>
    <mergeCell ref="C61:C62"/>
    <mergeCell ref="D61:D62"/>
    <mergeCell ref="C82:C83"/>
    <mergeCell ref="D82:D83"/>
    <mergeCell ref="F349:H349"/>
    <mergeCell ref="E335:E336"/>
    <mergeCell ref="F335:F336"/>
    <mergeCell ref="G335:G336"/>
    <mergeCell ref="F427:H427"/>
    <mergeCell ref="F325:H325"/>
    <mergeCell ref="F340:H340"/>
    <mergeCell ref="F355:H355"/>
    <mergeCell ref="F301:H301"/>
    <mergeCell ref="F283:H283"/>
    <mergeCell ref="F259:H259"/>
    <mergeCell ref="F242:H242"/>
    <mergeCell ref="D368:D369"/>
    <mergeCell ref="F426:H426"/>
    <mergeCell ref="F400:H400"/>
    <mergeCell ref="A406:Q406"/>
    <mergeCell ref="A407:Q407"/>
    <mergeCell ref="A408:Q408"/>
    <mergeCell ref="A363:Q363"/>
    <mergeCell ref="A364:Q364"/>
    <mergeCell ref="A365:Q365"/>
    <mergeCell ref="A368:A369"/>
    <mergeCell ref="B368:B369"/>
    <mergeCell ref="E368:E369"/>
    <mergeCell ref="F368:F369"/>
    <mergeCell ref="G368:G369"/>
    <mergeCell ref="H368:H369"/>
    <mergeCell ref="I368:I369"/>
    <mergeCell ref="J368:J369"/>
    <mergeCell ref="K368:K369"/>
    <mergeCell ref="L368:L369"/>
    <mergeCell ref="M368:M369"/>
    <mergeCell ref="N368:N369"/>
    <mergeCell ref="O368:O369"/>
    <mergeCell ref="P368:P369"/>
    <mergeCell ref="A347:Q347"/>
    <mergeCell ref="B348:E349"/>
    <mergeCell ref="F348:H348"/>
    <mergeCell ref="Q368:Q369"/>
    <mergeCell ref="B366:R367"/>
    <mergeCell ref="C368:C369"/>
    <mergeCell ref="Q411:Q412"/>
    <mergeCell ref="A411:A412"/>
    <mergeCell ref="B411:B412"/>
    <mergeCell ref="E411:E412"/>
    <mergeCell ref="F411:F412"/>
    <mergeCell ref="G411:G412"/>
    <mergeCell ref="H411:H412"/>
    <mergeCell ref="I411:I412"/>
    <mergeCell ref="J411:J412"/>
    <mergeCell ref="K411:K412"/>
    <mergeCell ref="C411:C412"/>
    <mergeCell ref="D411:D412"/>
    <mergeCell ref="L411:L412"/>
    <mergeCell ref="M411:M412"/>
    <mergeCell ref="N411:N412"/>
    <mergeCell ref="O411:O412"/>
    <mergeCell ref="P411:P412"/>
    <mergeCell ref="A95:Q95"/>
    <mergeCell ref="A350:A351"/>
    <mergeCell ref="B350:B351"/>
    <mergeCell ref="E350:E351"/>
    <mergeCell ref="F350:F351"/>
    <mergeCell ref="G350:G351"/>
    <mergeCell ref="H350:H351"/>
    <mergeCell ref="I350:I351"/>
    <mergeCell ref="J350:J351"/>
    <mergeCell ref="K350:K351"/>
    <mergeCell ref="C350:C351"/>
    <mergeCell ref="D350:D351"/>
    <mergeCell ref="D236:D237"/>
    <mergeCell ref="C252:C253"/>
    <mergeCell ref="D252:D253"/>
    <mergeCell ref="C269:C270"/>
    <mergeCell ref="D269:D270"/>
    <mergeCell ref="C292:C293"/>
    <mergeCell ref="D292:D293"/>
    <mergeCell ref="C311:C312"/>
    <mergeCell ref="D311:D312"/>
    <mergeCell ref="F108:H108"/>
    <mergeCell ref="A117:Q117"/>
    <mergeCell ref="A118:Q118"/>
    <mergeCell ref="D22:D23"/>
    <mergeCell ref="F339:H339"/>
    <mergeCell ref="A345:Q345"/>
    <mergeCell ref="A346:Q346"/>
    <mergeCell ref="B44:B45"/>
    <mergeCell ref="E44:E45"/>
    <mergeCell ref="F44:F45"/>
    <mergeCell ref="G44:G45"/>
    <mergeCell ref="H44:H45"/>
    <mergeCell ref="O44:O45"/>
    <mergeCell ref="P44:P45"/>
    <mergeCell ref="Q44:Q45"/>
    <mergeCell ref="Q61:Q62"/>
    <mergeCell ref="F50:H50"/>
    <mergeCell ref="A56:Q56"/>
    <mergeCell ref="A57:Q57"/>
    <mergeCell ref="I44:I45"/>
    <mergeCell ref="J44:J45"/>
    <mergeCell ref="K44:K45"/>
    <mergeCell ref="L44:L45"/>
    <mergeCell ref="M44:M45"/>
    <mergeCell ref="N44:N45"/>
    <mergeCell ref="F88:H88"/>
    <mergeCell ref="A94:Q94"/>
    <mergeCell ref="A2:Q2"/>
    <mergeCell ref="A3:Q3"/>
    <mergeCell ref="A4:Q4"/>
    <mergeCell ref="O7:O8"/>
    <mergeCell ref="P7:P8"/>
    <mergeCell ref="Q7:Q8"/>
    <mergeCell ref="H22:H23"/>
    <mergeCell ref="O22:O23"/>
    <mergeCell ref="P22:P23"/>
    <mergeCell ref="Q22:Q23"/>
    <mergeCell ref="D7:D8"/>
    <mergeCell ref="C7:C8"/>
    <mergeCell ref="F12:H12"/>
    <mergeCell ref="A17:Q17"/>
    <mergeCell ref="A18:Q18"/>
    <mergeCell ref="I7:I8"/>
    <mergeCell ref="J7:J8"/>
    <mergeCell ref="K7:K8"/>
    <mergeCell ref="L7:L8"/>
    <mergeCell ref="M7:M8"/>
    <mergeCell ref="N7:N8"/>
    <mergeCell ref="A7:A8"/>
    <mergeCell ref="B7:B8"/>
    <mergeCell ref="E7:E8"/>
    <mergeCell ref="F82:F83"/>
    <mergeCell ref="G82:G83"/>
    <mergeCell ref="H82:H83"/>
    <mergeCell ref="F7:F8"/>
    <mergeCell ref="G7:G8"/>
    <mergeCell ref="H7:H8"/>
    <mergeCell ref="A19:Q19"/>
    <mergeCell ref="A22:A23"/>
    <mergeCell ref="B22:B23"/>
    <mergeCell ref="E22:E23"/>
    <mergeCell ref="F22:F23"/>
    <mergeCell ref="G22:G23"/>
    <mergeCell ref="F13:H13"/>
    <mergeCell ref="B20:R21"/>
    <mergeCell ref="F33:H33"/>
    <mergeCell ref="A39:Q39"/>
    <mergeCell ref="A40:Q40"/>
    <mergeCell ref="I22:I23"/>
    <mergeCell ref="J22:J23"/>
    <mergeCell ref="K22:K23"/>
    <mergeCell ref="L22:L23"/>
    <mergeCell ref="M22:M23"/>
    <mergeCell ref="N22:N23"/>
    <mergeCell ref="C22:C23"/>
    <mergeCell ref="O82:O83"/>
    <mergeCell ref="P82:P83"/>
    <mergeCell ref="Q82:Q83"/>
    <mergeCell ref="A96:Q96"/>
    <mergeCell ref="A99:A100"/>
    <mergeCell ref="B99:B100"/>
    <mergeCell ref="E99:E100"/>
    <mergeCell ref="F99:F100"/>
    <mergeCell ref="G99:G100"/>
    <mergeCell ref="H99:H100"/>
    <mergeCell ref="O99:O100"/>
    <mergeCell ref="P99:P100"/>
    <mergeCell ref="Q99:Q100"/>
    <mergeCell ref="C99:C100"/>
    <mergeCell ref="D99:D100"/>
    <mergeCell ref="I82:I83"/>
    <mergeCell ref="J82:J83"/>
    <mergeCell ref="K82:K83"/>
    <mergeCell ref="L82:L83"/>
    <mergeCell ref="M82:M83"/>
    <mergeCell ref="N82:N83"/>
    <mergeCell ref="A82:A83"/>
    <mergeCell ref="B82:B83"/>
    <mergeCell ref="E82:E83"/>
    <mergeCell ref="I99:I100"/>
    <mergeCell ref="J99:J100"/>
    <mergeCell ref="K99:K100"/>
    <mergeCell ref="L99:L100"/>
    <mergeCell ref="M99:M100"/>
    <mergeCell ref="N99:N100"/>
    <mergeCell ref="F109:H109"/>
    <mergeCell ref="A119:Q119"/>
    <mergeCell ref="A122:A123"/>
    <mergeCell ref="B122:B123"/>
    <mergeCell ref="E122:E123"/>
    <mergeCell ref="F122:F123"/>
    <mergeCell ref="G122:G123"/>
    <mergeCell ref="H122:H123"/>
    <mergeCell ref="O122:O123"/>
    <mergeCell ref="P122:P123"/>
    <mergeCell ref="Q122:Q123"/>
    <mergeCell ref="C122:C123"/>
    <mergeCell ref="D122:D123"/>
    <mergeCell ref="F130:H130"/>
    <mergeCell ref="A159:Q159"/>
    <mergeCell ref="A160:Q160"/>
    <mergeCell ref="I122:I123"/>
    <mergeCell ref="J122:J123"/>
    <mergeCell ref="K122:K123"/>
    <mergeCell ref="L122:L123"/>
    <mergeCell ref="M122:M123"/>
    <mergeCell ref="N122:N123"/>
    <mergeCell ref="F131:H131"/>
    <mergeCell ref="A161:Q161"/>
    <mergeCell ref="A164:A165"/>
    <mergeCell ref="B164:B165"/>
    <mergeCell ref="E164:E165"/>
    <mergeCell ref="F164:F165"/>
    <mergeCell ref="G164:G165"/>
    <mergeCell ref="H164:H165"/>
    <mergeCell ref="O164:O165"/>
    <mergeCell ref="P164:P165"/>
    <mergeCell ref="Q164:Q165"/>
    <mergeCell ref="C164:C165"/>
    <mergeCell ref="D164:D165"/>
    <mergeCell ref="F178:H178"/>
    <mergeCell ref="A184:Q184"/>
    <mergeCell ref="A185:Q185"/>
    <mergeCell ref="I164:I165"/>
    <mergeCell ref="J164:J165"/>
    <mergeCell ref="K164:K165"/>
    <mergeCell ref="L164:L165"/>
    <mergeCell ref="M164:M165"/>
    <mergeCell ref="N164:N165"/>
    <mergeCell ref="F179:H179"/>
    <mergeCell ref="G236:G237"/>
    <mergeCell ref="H236:H237"/>
    <mergeCell ref="O236:O237"/>
    <mergeCell ref="P236:P237"/>
    <mergeCell ref="C236:C237"/>
    <mergeCell ref="A186:Q186"/>
    <mergeCell ref="A189:A190"/>
    <mergeCell ref="B189:B190"/>
    <mergeCell ref="E189:E190"/>
    <mergeCell ref="F189:F190"/>
    <mergeCell ref="G189:G190"/>
    <mergeCell ref="H189:H190"/>
    <mergeCell ref="O189:O190"/>
    <mergeCell ref="P189:P190"/>
    <mergeCell ref="Q189:Q190"/>
    <mergeCell ref="C189:C190"/>
    <mergeCell ref="D189:D190"/>
    <mergeCell ref="F226:H226"/>
    <mergeCell ref="F225:H225"/>
    <mergeCell ref="I189:I190"/>
    <mergeCell ref="J189:J190"/>
    <mergeCell ref="K189:K190"/>
    <mergeCell ref="L189:L190"/>
    <mergeCell ref="M189:M190"/>
    <mergeCell ref="N189:N190"/>
    <mergeCell ref="A231:Q231"/>
    <mergeCell ref="A232:Q232"/>
    <mergeCell ref="A306:Q306"/>
    <mergeCell ref="A307:Q307"/>
    <mergeCell ref="A264:Q264"/>
    <mergeCell ref="A265:Q265"/>
    <mergeCell ref="A266:Q266"/>
    <mergeCell ref="A269:A270"/>
    <mergeCell ref="B269:B270"/>
    <mergeCell ref="E269:E270"/>
    <mergeCell ref="F269:F270"/>
    <mergeCell ref="G269:G270"/>
    <mergeCell ref="N269:N270"/>
    <mergeCell ref="O269:O270"/>
    <mergeCell ref="P269:P270"/>
    <mergeCell ref="Q269:Q270"/>
    <mergeCell ref="H269:H270"/>
    <mergeCell ref="I269:I270"/>
    <mergeCell ref="J269:J270"/>
    <mergeCell ref="K269:K270"/>
    <mergeCell ref="L269:L270"/>
    <mergeCell ref="M269:M270"/>
    <mergeCell ref="E292:E293"/>
    <mergeCell ref="A332:Q332"/>
    <mergeCell ref="B333:E334"/>
    <mergeCell ref="F333:H333"/>
    <mergeCell ref="F334:H334"/>
    <mergeCell ref="A335:A336"/>
    <mergeCell ref="B335:B336"/>
    <mergeCell ref="N335:N336"/>
    <mergeCell ref="O335:O336"/>
    <mergeCell ref="P335:P336"/>
    <mergeCell ref="Q335:Q336"/>
    <mergeCell ref="M335:M336"/>
    <mergeCell ref="C335:C336"/>
    <mergeCell ref="D335:D336"/>
    <mergeCell ref="H335:H336"/>
    <mergeCell ref="I335:I336"/>
    <mergeCell ref="J335:J336"/>
    <mergeCell ref="K335:K336"/>
    <mergeCell ref="L335:L336"/>
    <mergeCell ref="A330:Q330"/>
    <mergeCell ref="A331:Q331"/>
    <mergeCell ref="A308:Q308"/>
    <mergeCell ref="A311:A312"/>
    <mergeCell ref="B311:B312"/>
    <mergeCell ref="E311:E312"/>
    <mergeCell ref="F311:F312"/>
    <mergeCell ref="G311:G312"/>
    <mergeCell ref="H311:H312"/>
    <mergeCell ref="I311:I312"/>
    <mergeCell ref="J311:J312"/>
    <mergeCell ref="K311:K312"/>
    <mergeCell ref="L311:L312"/>
    <mergeCell ref="M311:M312"/>
    <mergeCell ref="N311:N312"/>
    <mergeCell ref="O311:O312"/>
    <mergeCell ref="P311:P312"/>
    <mergeCell ref="Q311:Q312"/>
    <mergeCell ref="B309:R310"/>
    <mergeCell ref="R411:R412"/>
    <mergeCell ref="R368:R369"/>
    <mergeCell ref="R22:R23"/>
    <mergeCell ref="R44:R45"/>
    <mergeCell ref="R61:R62"/>
    <mergeCell ref="R82:R83"/>
    <mergeCell ref="R348:R349"/>
    <mergeCell ref="R350:R351"/>
    <mergeCell ref="R335:R336"/>
    <mergeCell ref="B120:R121"/>
    <mergeCell ref="B162:R163"/>
    <mergeCell ref="B187:R188"/>
    <mergeCell ref="A250:R251"/>
    <mergeCell ref="R189:R190"/>
    <mergeCell ref="R164:R165"/>
    <mergeCell ref="R122:R123"/>
    <mergeCell ref="A248:Q248"/>
    <mergeCell ref="B267:R268"/>
    <mergeCell ref="A249:Q249"/>
    <mergeCell ref="B97:R98"/>
    <mergeCell ref="R311:R312"/>
    <mergeCell ref="R292:R293"/>
    <mergeCell ref="R269:R270"/>
    <mergeCell ref="F324:H324"/>
    <mergeCell ref="B5:R6"/>
    <mergeCell ref="B42:R43"/>
    <mergeCell ref="B59:R60"/>
    <mergeCell ref="B80:R81"/>
    <mergeCell ref="R7:R8"/>
    <mergeCell ref="A79:Q79"/>
    <mergeCell ref="F71:H71"/>
    <mergeCell ref="A77:Q77"/>
    <mergeCell ref="A78:Q78"/>
    <mergeCell ref="I61:I62"/>
    <mergeCell ref="J61:J62"/>
    <mergeCell ref="K61:K62"/>
    <mergeCell ref="L61:L62"/>
    <mergeCell ref="M61:M62"/>
    <mergeCell ref="N61:N62"/>
    <mergeCell ref="A58:Q58"/>
    <mergeCell ref="A61:A62"/>
    <mergeCell ref="B61:B62"/>
    <mergeCell ref="E61:E62"/>
    <mergeCell ref="F61:F62"/>
    <mergeCell ref="G61:G62"/>
    <mergeCell ref="H61:H62"/>
    <mergeCell ref="O61:O62"/>
    <mergeCell ref="P61:P62"/>
    <mergeCell ref="F258:H258"/>
    <mergeCell ref="I252:I253"/>
    <mergeCell ref="J252:J253"/>
    <mergeCell ref="K252:K253"/>
    <mergeCell ref="L252:L253"/>
    <mergeCell ref="M252:M253"/>
    <mergeCell ref="N252:N253"/>
    <mergeCell ref="A252:A253"/>
    <mergeCell ref="B252:B253"/>
    <mergeCell ref="E252:E253"/>
    <mergeCell ref="F252:F253"/>
    <mergeCell ref="G252:G253"/>
    <mergeCell ref="M236:M237"/>
    <mergeCell ref="N236:N237"/>
    <mergeCell ref="A233:Q233"/>
    <mergeCell ref="B234:E235"/>
    <mergeCell ref="F234:H234"/>
    <mergeCell ref="H252:H253"/>
    <mergeCell ref="O252:O253"/>
    <mergeCell ref="R252:R253"/>
    <mergeCell ref="R234:R235"/>
    <mergeCell ref="R236:R237"/>
    <mergeCell ref="P252:P253"/>
    <mergeCell ref="Q252:Q253"/>
    <mergeCell ref="F241:H241"/>
    <mergeCell ref="A247:Q247"/>
    <mergeCell ref="Q236:Q237"/>
    <mergeCell ref="I236:I237"/>
    <mergeCell ref="J236:J237"/>
    <mergeCell ref="K236:K237"/>
    <mergeCell ref="L236:L237"/>
    <mergeCell ref="F235:H235"/>
    <mergeCell ref="A236:A237"/>
    <mergeCell ref="B236:B237"/>
    <mergeCell ref="E236:E237"/>
    <mergeCell ref="F236:F237"/>
    <mergeCell ref="A5:A6"/>
    <mergeCell ref="R99:R100"/>
    <mergeCell ref="B409:R410"/>
    <mergeCell ref="F292:F293"/>
    <mergeCell ref="G292:G293"/>
    <mergeCell ref="N292:N293"/>
    <mergeCell ref="O292:O293"/>
    <mergeCell ref="P292:P293"/>
    <mergeCell ref="Q292:Q293"/>
    <mergeCell ref="F282:H282"/>
    <mergeCell ref="A288:Q288"/>
    <mergeCell ref="A289:Q289"/>
    <mergeCell ref="F300:H300"/>
    <mergeCell ref="H292:H293"/>
    <mergeCell ref="I292:I293"/>
    <mergeCell ref="J292:J293"/>
    <mergeCell ref="K292:K293"/>
    <mergeCell ref="L292:L293"/>
    <mergeCell ref="M292:M293"/>
    <mergeCell ref="A290:Q290"/>
    <mergeCell ref="B291:E291"/>
    <mergeCell ref="F291:H291"/>
    <mergeCell ref="A292:A293"/>
    <mergeCell ref="B292:B293"/>
  </mergeCells>
  <phoneticPr fontId="20" type="noConversion"/>
  <printOptions horizontalCentered="1" verticalCentered="1"/>
  <pageMargins left="0.70866141732283461" right="0.70866141732283461" top="0.74803149606299213" bottom="0.74803149606299213" header="0.31496062992125984" footer="0.31496062992125984"/>
  <pageSetup paperSize="5" scale="38" fitToHeight="0" orientation="landscape" verticalDpi="360" r:id="rId1"/>
  <ignoredErrors>
    <ignoredError sqref="Q272 I65 L125 Q127 Q370 Q372 O127 O272 K401 Q415 O415" formula="1"/>
    <ignoredError sqref="F20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DE PERSONAL 2025</vt:lpstr>
      <vt:lpstr>'PLANTILLA DE PERSONAL 2025'!Área_de_impresión</vt:lpstr>
    </vt:vector>
  </TitlesOfParts>
  <Company>Piratas Unidos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pc</cp:lastModifiedBy>
  <cp:lastPrinted>2025-12-26T17:31:40Z</cp:lastPrinted>
  <dcterms:created xsi:type="dcterms:W3CDTF">2017-05-10T18:40:11Z</dcterms:created>
  <dcterms:modified xsi:type="dcterms:W3CDTF">2025-12-26T17:37:24Z</dcterms:modified>
</cp:coreProperties>
</file>