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16. PLANTILLA DEL PERSONAL  (PP)\"/>
    </mc:Choice>
  </mc:AlternateContent>
  <bookViews>
    <workbookView xWindow="2556" yWindow="996" windowWidth="18000" windowHeight="9360"/>
  </bookViews>
  <sheets>
    <sheet name="PLANTILLA DE PERSONAL 2025" sheetId="1" r:id="rId1"/>
  </sheets>
  <definedNames>
    <definedName name="_xlnm._FilterDatabase" localSheetId="0" hidden="1">'PLANTILLA DE PERSONAL 2025'!$A$6:$R$378</definedName>
    <definedName name="_xlnm.Print_Area" localSheetId="0">'PLANTILLA DE PERSONAL 2025'!$A$1:$S$378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89" i="1" l="1"/>
  <c r="L289" i="1"/>
  <c r="K289" i="1"/>
  <c r="I289" i="1"/>
  <c r="Q289" i="1" s="1"/>
  <c r="R289" i="1" s="1"/>
  <c r="O364" i="1"/>
  <c r="L364" i="1"/>
  <c r="K364" i="1"/>
  <c r="I364" i="1"/>
  <c r="Q364" i="1" s="1"/>
  <c r="R364" i="1" s="1"/>
  <c r="O320" i="1"/>
  <c r="L320" i="1"/>
  <c r="K320" i="1"/>
  <c r="I320" i="1"/>
  <c r="Q320" i="1" s="1"/>
  <c r="R320" i="1" s="1"/>
  <c r="I277" i="1" l="1"/>
  <c r="I278" i="1" s="1"/>
  <c r="I375" i="1" l="1"/>
  <c r="I376" i="1" s="1"/>
  <c r="O342" i="1" l="1"/>
  <c r="Q342" i="1" s="1"/>
  <c r="R342" i="1" s="1"/>
  <c r="L342" i="1"/>
  <c r="K342" i="1"/>
  <c r="J67" i="1" l="1"/>
  <c r="J68" i="1" s="1"/>
  <c r="M67" i="1"/>
  <c r="M68" i="1" s="1"/>
  <c r="N67" i="1"/>
  <c r="N68" i="1" s="1"/>
  <c r="P67" i="1"/>
  <c r="P68" i="1" s="1"/>
  <c r="J238" i="1"/>
  <c r="J239" i="1" s="1"/>
  <c r="M238" i="1"/>
  <c r="M239" i="1" s="1"/>
  <c r="N238" i="1"/>
  <c r="N239" i="1" s="1"/>
  <c r="P238" i="1"/>
  <c r="P239" i="1" s="1"/>
  <c r="J350" i="1"/>
  <c r="J351" i="1" s="1"/>
  <c r="M350" i="1"/>
  <c r="M351" i="1" s="1"/>
  <c r="N350" i="1"/>
  <c r="N351" i="1" s="1"/>
  <c r="P350" i="1"/>
  <c r="P351" i="1" s="1"/>
  <c r="O347" i="1"/>
  <c r="Q347" i="1" s="1"/>
  <c r="R347" i="1" s="1"/>
  <c r="L347" i="1"/>
  <c r="K347" i="1"/>
  <c r="O346" i="1"/>
  <c r="Q346" i="1" s="1"/>
  <c r="R346" i="1" s="1"/>
  <c r="L346" i="1"/>
  <c r="K346" i="1"/>
  <c r="O345" i="1"/>
  <c r="Q345" i="1" s="1"/>
  <c r="R345" i="1" s="1"/>
  <c r="L345" i="1"/>
  <c r="K345" i="1"/>
  <c r="O344" i="1"/>
  <c r="Q344" i="1" s="1"/>
  <c r="R344" i="1" s="1"/>
  <c r="L344" i="1"/>
  <c r="K344" i="1"/>
  <c r="O343" i="1"/>
  <c r="Q343" i="1" s="1"/>
  <c r="R343" i="1" s="1"/>
  <c r="L343" i="1"/>
  <c r="K343" i="1"/>
  <c r="O341" i="1"/>
  <c r="Q341" i="1" s="1"/>
  <c r="R341" i="1" s="1"/>
  <c r="L341" i="1"/>
  <c r="K341" i="1"/>
  <c r="O373" i="1"/>
  <c r="Q373" i="1" s="1"/>
  <c r="R373" i="1" s="1"/>
  <c r="L373" i="1"/>
  <c r="K373" i="1"/>
  <c r="O372" i="1"/>
  <c r="Q372" i="1" s="1"/>
  <c r="R372" i="1" s="1"/>
  <c r="L372" i="1"/>
  <c r="K372" i="1"/>
  <c r="O44" i="1" l="1"/>
  <c r="Q44" i="1" s="1"/>
  <c r="R44" i="1" s="1"/>
  <c r="L44" i="1"/>
  <c r="K44" i="1"/>
  <c r="L115" i="1"/>
  <c r="O132" i="1"/>
  <c r="Q132" i="1" s="1"/>
  <c r="R132" i="1" s="1"/>
  <c r="L132" i="1"/>
  <c r="K132" i="1"/>
  <c r="O133" i="1"/>
  <c r="Q133" i="1" s="1"/>
  <c r="R133" i="1" s="1"/>
  <c r="L133" i="1"/>
  <c r="K133" i="1"/>
  <c r="O167" i="1"/>
  <c r="Q167" i="1" s="1"/>
  <c r="R167" i="1" s="1"/>
  <c r="L167" i="1"/>
  <c r="K167" i="1"/>
  <c r="O166" i="1"/>
  <c r="Q166" i="1" s="1"/>
  <c r="R166" i="1" s="1"/>
  <c r="L166" i="1"/>
  <c r="K166" i="1"/>
  <c r="O165" i="1"/>
  <c r="Q165" i="1" s="1"/>
  <c r="R165" i="1" s="1"/>
  <c r="L165" i="1"/>
  <c r="K165" i="1"/>
  <c r="O164" i="1"/>
  <c r="Q164" i="1" s="1"/>
  <c r="R164" i="1" s="1"/>
  <c r="L164" i="1"/>
  <c r="K164" i="1"/>
  <c r="O163" i="1"/>
  <c r="Q163" i="1" s="1"/>
  <c r="R163" i="1" s="1"/>
  <c r="L163" i="1"/>
  <c r="K163" i="1"/>
  <c r="O162" i="1"/>
  <c r="Q162" i="1" s="1"/>
  <c r="R162" i="1" s="1"/>
  <c r="L162" i="1"/>
  <c r="K162" i="1"/>
  <c r="O161" i="1"/>
  <c r="Q161" i="1" s="1"/>
  <c r="R161" i="1" s="1"/>
  <c r="L161" i="1"/>
  <c r="K161" i="1"/>
  <c r="O160" i="1"/>
  <c r="Q160" i="1" s="1"/>
  <c r="R160" i="1" s="1"/>
  <c r="L160" i="1"/>
  <c r="K160" i="1"/>
  <c r="O159" i="1"/>
  <c r="Q159" i="1" s="1"/>
  <c r="R159" i="1" s="1"/>
  <c r="L159" i="1"/>
  <c r="K159" i="1"/>
  <c r="O158" i="1"/>
  <c r="Q158" i="1" s="1"/>
  <c r="R158" i="1" s="1"/>
  <c r="L158" i="1"/>
  <c r="K158" i="1"/>
  <c r="O157" i="1"/>
  <c r="Q157" i="1" s="1"/>
  <c r="R157" i="1" s="1"/>
  <c r="L157" i="1"/>
  <c r="K157" i="1"/>
  <c r="O156" i="1"/>
  <c r="Q156" i="1" s="1"/>
  <c r="R156" i="1" s="1"/>
  <c r="L156" i="1"/>
  <c r="K156" i="1"/>
  <c r="O155" i="1"/>
  <c r="Q155" i="1" s="1"/>
  <c r="R155" i="1" s="1"/>
  <c r="L155" i="1"/>
  <c r="K155" i="1"/>
  <c r="O154" i="1"/>
  <c r="Q154" i="1" s="1"/>
  <c r="R154" i="1" s="1"/>
  <c r="L154" i="1"/>
  <c r="K154" i="1"/>
  <c r="O153" i="1"/>
  <c r="Q153" i="1" s="1"/>
  <c r="R153" i="1" s="1"/>
  <c r="L153" i="1"/>
  <c r="K153" i="1"/>
  <c r="O152" i="1"/>
  <c r="Q152" i="1" s="1"/>
  <c r="R152" i="1" s="1"/>
  <c r="L152" i="1"/>
  <c r="K152" i="1"/>
  <c r="O266" i="1"/>
  <c r="Q266" i="1" s="1"/>
  <c r="R266" i="1" s="1"/>
  <c r="L266" i="1"/>
  <c r="K266" i="1"/>
  <c r="O267" i="1"/>
  <c r="Q267" i="1" s="1"/>
  <c r="R267" i="1" s="1"/>
  <c r="L267" i="1"/>
  <c r="K267" i="1"/>
  <c r="O268" i="1"/>
  <c r="Q268" i="1" s="1"/>
  <c r="R268" i="1" s="1"/>
  <c r="L268" i="1"/>
  <c r="K268" i="1"/>
  <c r="O269" i="1"/>
  <c r="Q269" i="1" s="1"/>
  <c r="R269" i="1" s="1"/>
  <c r="L269" i="1"/>
  <c r="K269" i="1"/>
  <c r="L270" i="1"/>
  <c r="K270" i="1"/>
  <c r="O270" i="1" l="1"/>
  <c r="Q270" i="1" s="1"/>
  <c r="R270" i="1" s="1"/>
  <c r="O371" i="1"/>
  <c r="Q371" i="1" s="1"/>
  <c r="R371" i="1" s="1"/>
  <c r="L371" i="1"/>
  <c r="K371" i="1"/>
  <c r="O370" i="1"/>
  <c r="Q370" i="1" s="1"/>
  <c r="R370" i="1" s="1"/>
  <c r="L370" i="1"/>
  <c r="K370" i="1"/>
  <c r="O369" i="1"/>
  <c r="Q369" i="1" s="1"/>
  <c r="R369" i="1" s="1"/>
  <c r="L369" i="1"/>
  <c r="K369" i="1"/>
  <c r="O368" i="1"/>
  <c r="Q368" i="1" s="1"/>
  <c r="R368" i="1" s="1"/>
  <c r="L368" i="1"/>
  <c r="K368" i="1"/>
  <c r="O367" i="1"/>
  <c r="Q367" i="1" s="1"/>
  <c r="R367" i="1" s="1"/>
  <c r="L367" i="1"/>
  <c r="K367" i="1"/>
  <c r="O366" i="1"/>
  <c r="Q366" i="1" s="1"/>
  <c r="R366" i="1" s="1"/>
  <c r="L366" i="1"/>
  <c r="K366" i="1"/>
  <c r="O365" i="1"/>
  <c r="Q365" i="1" s="1"/>
  <c r="R365" i="1" s="1"/>
  <c r="L365" i="1"/>
  <c r="K365" i="1"/>
  <c r="O363" i="1"/>
  <c r="Q363" i="1" s="1"/>
  <c r="R363" i="1" s="1"/>
  <c r="L363" i="1"/>
  <c r="K363" i="1"/>
  <c r="O362" i="1"/>
  <c r="Q362" i="1" s="1"/>
  <c r="R362" i="1" s="1"/>
  <c r="L362" i="1"/>
  <c r="K362" i="1"/>
  <c r="O348" i="1"/>
  <c r="Q348" i="1" s="1"/>
  <c r="R348" i="1" s="1"/>
  <c r="L348" i="1"/>
  <c r="K348" i="1"/>
  <c r="O340" i="1"/>
  <c r="Q340" i="1" s="1"/>
  <c r="R340" i="1" s="1"/>
  <c r="L340" i="1"/>
  <c r="K340" i="1"/>
  <c r="O339" i="1"/>
  <c r="Q339" i="1" s="1"/>
  <c r="R339" i="1" s="1"/>
  <c r="L339" i="1"/>
  <c r="K339" i="1"/>
  <c r="O338" i="1"/>
  <c r="Q338" i="1" s="1"/>
  <c r="R338" i="1" s="1"/>
  <c r="L338" i="1"/>
  <c r="K338" i="1"/>
  <c r="O337" i="1"/>
  <c r="Q337" i="1" s="1"/>
  <c r="R337" i="1" s="1"/>
  <c r="L337" i="1"/>
  <c r="K337" i="1"/>
  <c r="O336" i="1"/>
  <c r="Q336" i="1" s="1"/>
  <c r="R336" i="1" s="1"/>
  <c r="L336" i="1"/>
  <c r="K336" i="1"/>
  <c r="O335" i="1"/>
  <c r="Q335" i="1" s="1"/>
  <c r="R335" i="1" s="1"/>
  <c r="L335" i="1"/>
  <c r="K335" i="1"/>
  <c r="O334" i="1"/>
  <c r="Q334" i="1" s="1"/>
  <c r="R334" i="1" s="1"/>
  <c r="L334" i="1"/>
  <c r="K334" i="1"/>
  <c r="O333" i="1"/>
  <c r="Q333" i="1" s="1"/>
  <c r="R333" i="1" s="1"/>
  <c r="L333" i="1"/>
  <c r="K333" i="1"/>
  <c r="O332" i="1"/>
  <c r="Q332" i="1" s="1"/>
  <c r="R332" i="1" s="1"/>
  <c r="L332" i="1"/>
  <c r="K332" i="1"/>
  <c r="O331" i="1"/>
  <c r="Q331" i="1" s="1"/>
  <c r="R331" i="1" s="1"/>
  <c r="L331" i="1"/>
  <c r="K331" i="1"/>
  <c r="O330" i="1"/>
  <c r="Q330" i="1" s="1"/>
  <c r="R330" i="1" s="1"/>
  <c r="L330" i="1"/>
  <c r="K330" i="1"/>
  <c r="O327" i="1"/>
  <c r="Q327" i="1" s="1"/>
  <c r="R327" i="1" s="1"/>
  <c r="L327" i="1"/>
  <c r="K327" i="1"/>
  <c r="O326" i="1"/>
  <c r="Q326" i="1" s="1"/>
  <c r="R326" i="1" s="1"/>
  <c r="L326" i="1"/>
  <c r="K326" i="1"/>
  <c r="O325" i="1"/>
  <c r="Q325" i="1" s="1"/>
  <c r="R325" i="1" s="1"/>
  <c r="L325" i="1"/>
  <c r="K325" i="1"/>
  <c r="O324" i="1"/>
  <c r="Q324" i="1" s="1"/>
  <c r="R324" i="1" s="1"/>
  <c r="L324" i="1"/>
  <c r="K324" i="1"/>
  <c r="O323" i="1"/>
  <c r="Q323" i="1" s="1"/>
  <c r="R323" i="1" s="1"/>
  <c r="L323" i="1"/>
  <c r="K323" i="1"/>
  <c r="O321" i="1"/>
  <c r="Q321" i="1" s="1"/>
  <c r="R321" i="1" s="1"/>
  <c r="L321" i="1"/>
  <c r="K321" i="1"/>
  <c r="O319" i="1"/>
  <c r="L319" i="1"/>
  <c r="K319" i="1"/>
  <c r="O99" i="1"/>
  <c r="Q99" i="1" s="1"/>
  <c r="R99" i="1" s="1"/>
  <c r="L99" i="1"/>
  <c r="K99" i="1"/>
  <c r="O303" i="1"/>
  <c r="Q303" i="1" s="1"/>
  <c r="R303" i="1" s="1"/>
  <c r="L303" i="1"/>
  <c r="K303" i="1"/>
  <c r="O275" i="1"/>
  <c r="Q275" i="1" s="1"/>
  <c r="R275" i="1" s="1"/>
  <c r="L275" i="1"/>
  <c r="K275" i="1"/>
  <c r="O274" i="1"/>
  <c r="Q274" i="1" s="1"/>
  <c r="R274" i="1" s="1"/>
  <c r="L274" i="1"/>
  <c r="K274" i="1"/>
  <c r="O273" i="1"/>
  <c r="Q273" i="1" s="1"/>
  <c r="R273" i="1" s="1"/>
  <c r="L273" i="1"/>
  <c r="K273" i="1"/>
  <c r="O272" i="1"/>
  <c r="Q272" i="1" s="1"/>
  <c r="R272" i="1" s="1"/>
  <c r="L272" i="1"/>
  <c r="K272" i="1"/>
  <c r="O271" i="1"/>
  <c r="Q271" i="1" s="1"/>
  <c r="R271" i="1" s="1"/>
  <c r="L271" i="1"/>
  <c r="K271" i="1"/>
  <c r="O252" i="1"/>
  <c r="Q252" i="1" s="1"/>
  <c r="R252" i="1" s="1"/>
  <c r="L252" i="1"/>
  <c r="K252" i="1"/>
  <c r="O251" i="1"/>
  <c r="Q251" i="1" s="1"/>
  <c r="R251" i="1" s="1"/>
  <c r="L251" i="1"/>
  <c r="K251" i="1"/>
  <c r="O250" i="1"/>
  <c r="Q250" i="1" s="1"/>
  <c r="R250" i="1" s="1"/>
  <c r="L250" i="1"/>
  <c r="K250" i="1"/>
  <c r="O236" i="1"/>
  <c r="Q236" i="1" s="1"/>
  <c r="R236" i="1" s="1"/>
  <c r="L236" i="1"/>
  <c r="K236" i="1"/>
  <c r="O235" i="1"/>
  <c r="Q235" i="1" s="1"/>
  <c r="R235" i="1" s="1"/>
  <c r="L235" i="1"/>
  <c r="K235" i="1"/>
  <c r="O234" i="1"/>
  <c r="Q234" i="1" s="1"/>
  <c r="R234" i="1" s="1"/>
  <c r="L234" i="1"/>
  <c r="K234" i="1"/>
  <c r="O233" i="1"/>
  <c r="Q233" i="1" s="1"/>
  <c r="R233" i="1" s="1"/>
  <c r="L233" i="1"/>
  <c r="K233" i="1"/>
  <c r="O232" i="1"/>
  <c r="Q232" i="1" s="1"/>
  <c r="R232" i="1" s="1"/>
  <c r="L232" i="1"/>
  <c r="K232" i="1"/>
  <c r="O231" i="1"/>
  <c r="Q231" i="1" s="1"/>
  <c r="R231" i="1" s="1"/>
  <c r="L231" i="1"/>
  <c r="K231" i="1"/>
  <c r="O230" i="1"/>
  <c r="Q230" i="1" s="1"/>
  <c r="R230" i="1" s="1"/>
  <c r="L230" i="1"/>
  <c r="K230" i="1"/>
  <c r="O229" i="1"/>
  <c r="Q229" i="1" s="1"/>
  <c r="R229" i="1" s="1"/>
  <c r="L229" i="1"/>
  <c r="K229" i="1"/>
  <c r="O227" i="1"/>
  <c r="L227" i="1"/>
  <c r="K227" i="1"/>
  <c r="O213" i="1"/>
  <c r="Q213" i="1" s="1"/>
  <c r="R213" i="1" s="1"/>
  <c r="L213" i="1"/>
  <c r="K213" i="1"/>
  <c r="O212" i="1"/>
  <c r="Q212" i="1" s="1"/>
  <c r="R212" i="1" s="1"/>
  <c r="L212" i="1"/>
  <c r="K212" i="1"/>
  <c r="O211" i="1"/>
  <c r="Q211" i="1" s="1"/>
  <c r="R211" i="1" s="1"/>
  <c r="L211" i="1"/>
  <c r="K211" i="1"/>
  <c r="O197" i="1"/>
  <c r="Q197" i="1" s="1"/>
  <c r="R197" i="1" s="1"/>
  <c r="L197" i="1"/>
  <c r="K197" i="1"/>
  <c r="O196" i="1"/>
  <c r="Q196" i="1" s="1"/>
  <c r="R196" i="1" s="1"/>
  <c r="L196" i="1"/>
  <c r="K196" i="1"/>
  <c r="O182" i="1"/>
  <c r="Q182" i="1" s="1"/>
  <c r="R182" i="1" s="1"/>
  <c r="L182" i="1"/>
  <c r="K182" i="1"/>
  <c r="O181" i="1"/>
  <c r="Q181" i="1" s="1"/>
  <c r="R181" i="1" s="1"/>
  <c r="L181" i="1"/>
  <c r="K181" i="1"/>
  <c r="O180" i="1"/>
  <c r="Q180" i="1" s="1"/>
  <c r="R180" i="1" s="1"/>
  <c r="L180" i="1"/>
  <c r="K180" i="1"/>
  <c r="O179" i="1"/>
  <c r="Q179" i="1" s="1"/>
  <c r="R179" i="1" s="1"/>
  <c r="L179" i="1"/>
  <c r="K179" i="1"/>
  <c r="O178" i="1"/>
  <c r="Q178" i="1" s="1"/>
  <c r="R178" i="1" s="1"/>
  <c r="L178" i="1"/>
  <c r="K178" i="1"/>
  <c r="O177" i="1"/>
  <c r="Q177" i="1" s="1"/>
  <c r="R177" i="1" s="1"/>
  <c r="L177" i="1"/>
  <c r="K177" i="1"/>
  <c r="O176" i="1"/>
  <c r="Q176" i="1" s="1"/>
  <c r="R176" i="1" s="1"/>
  <c r="L176" i="1"/>
  <c r="K176" i="1"/>
  <c r="O175" i="1"/>
  <c r="Q175" i="1" s="1"/>
  <c r="R175" i="1" s="1"/>
  <c r="L175" i="1"/>
  <c r="K175" i="1"/>
  <c r="O174" i="1"/>
  <c r="Q174" i="1" s="1"/>
  <c r="R174" i="1" s="1"/>
  <c r="L174" i="1"/>
  <c r="K174" i="1"/>
  <c r="O173" i="1"/>
  <c r="Q173" i="1" s="1"/>
  <c r="R173" i="1" s="1"/>
  <c r="L173" i="1"/>
  <c r="K173" i="1"/>
  <c r="O172" i="1"/>
  <c r="Q172" i="1" s="1"/>
  <c r="R172" i="1" s="1"/>
  <c r="L172" i="1"/>
  <c r="K172" i="1"/>
  <c r="O171" i="1"/>
  <c r="Q171" i="1" s="1"/>
  <c r="R171" i="1" s="1"/>
  <c r="L171" i="1"/>
  <c r="K171" i="1"/>
  <c r="O170" i="1"/>
  <c r="Q170" i="1" s="1"/>
  <c r="R170" i="1" s="1"/>
  <c r="L170" i="1"/>
  <c r="K170" i="1"/>
  <c r="O169" i="1"/>
  <c r="Q169" i="1" s="1"/>
  <c r="R169" i="1" s="1"/>
  <c r="L169" i="1"/>
  <c r="K169" i="1"/>
  <c r="O168" i="1"/>
  <c r="Q168" i="1" s="1"/>
  <c r="R168" i="1" s="1"/>
  <c r="L168" i="1"/>
  <c r="K168" i="1"/>
  <c r="O136" i="1"/>
  <c r="Q136" i="1" s="1"/>
  <c r="R136" i="1" s="1"/>
  <c r="L136" i="1"/>
  <c r="K136" i="1"/>
  <c r="O135" i="1"/>
  <c r="Q135" i="1" s="1"/>
  <c r="R135" i="1" s="1"/>
  <c r="L135" i="1"/>
  <c r="K135" i="1"/>
  <c r="O134" i="1"/>
  <c r="Q134" i="1" s="1"/>
  <c r="R134" i="1" s="1"/>
  <c r="L134" i="1"/>
  <c r="K134" i="1"/>
  <c r="O118" i="1"/>
  <c r="Q118" i="1" s="1"/>
  <c r="R118" i="1" s="1"/>
  <c r="L118" i="1"/>
  <c r="K118" i="1"/>
  <c r="O116" i="1"/>
  <c r="Q116" i="1" s="1"/>
  <c r="R116" i="1" s="1"/>
  <c r="L116" i="1"/>
  <c r="K116" i="1"/>
  <c r="O98" i="1"/>
  <c r="Q98" i="1" s="1"/>
  <c r="R98" i="1" s="1"/>
  <c r="L98" i="1"/>
  <c r="K98" i="1"/>
  <c r="O81" i="1"/>
  <c r="Q81" i="1" s="1"/>
  <c r="R81" i="1" s="1"/>
  <c r="L81" i="1"/>
  <c r="K81" i="1"/>
  <c r="O80" i="1"/>
  <c r="Q80" i="1" s="1"/>
  <c r="R80" i="1" s="1"/>
  <c r="L80" i="1"/>
  <c r="K80" i="1"/>
  <c r="O65" i="1"/>
  <c r="Q65" i="1" s="1"/>
  <c r="R65" i="1" s="1"/>
  <c r="L65" i="1"/>
  <c r="K65" i="1"/>
  <c r="O45" i="1"/>
  <c r="Q45" i="1" s="1"/>
  <c r="R45" i="1" s="1"/>
  <c r="L45" i="1"/>
  <c r="K45" i="1"/>
  <c r="O29" i="1"/>
  <c r="O64" i="1"/>
  <c r="L64" i="1"/>
  <c r="K64" i="1"/>
  <c r="I64" i="1"/>
  <c r="I329" i="1"/>
  <c r="I328" i="1"/>
  <c r="I322" i="1"/>
  <c r="O329" i="1"/>
  <c r="O328" i="1"/>
  <c r="O322" i="1"/>
  <c r="O97" i="1"/>
  <c r="I97" i="1"/>
  <c r="O63" i="1"/>
  <c r="K63" i="1"/>
  <c r="L63" i="1"/>
  <c r="I63" i="1"/>
  <c r="R184" i="1" l="1"/>
  <c r="R185" i="1" s="1"/>
  <c r="I350" i="1"/>
  <c r="I351" i="1" s="1"/>
  <c r="O350" i="1"/>
  <c r="O351" i="1" s="1"/>
  <c r="Q227" i="1"/>
  <c r="Q64" i="1"/>
  <c r="R64" i="1" s="1"/>
  <c r="Q319" i="1"/>
  <c r="Q63" i="1"/>
  <c r="R63" i="1" s="1"/>
  <c r="R227" i="1" l="1"/>
  <c r="R319" i="1"/>
  <c r="R254" i="1" l="1"/>
  <c r="R255" i="1" s="1"/>
  <c r="O62" i="1"/>
  <c r="I62" i="1"/>
  <c r="O61" i="1"/>
  <c r="I61" i="1"/>
  <c r="I60" i="1"/>
  <c r="J277" i="1"/>
  <c r="J278" i="1" s="1"/>
  <c r="M277" i="1"/>
  <c r="M278" i="1" s="1"/>
  <c r="N277" i="1"/>
  <c r="N278" i="1" s="1"/>
  <c r="P277" i="1"/>
  <c r="P278" i="1" s="1"/>
  <c r="O228" i="1"/>
  <c r="O238" i="1" s="1"/>
  <c r="O239" i="1" s="1"/>
  <c r="I228" i="1"/>
  <c r="I238" i="1" s="1"/>
  <c r="J215" i="1"/>
  <c r="J216" i="1" s="1"/>
  <c r="M215" i="1"/>
  <c r="M216" i="1" s="1"/>
  <c r="N215" i="1"/>
  <c r="N216" i="1" s="1"/>
  <c r="P215" i="1"/>
  <c r="P216" i="1" s="1"/>
  <c r="O215" i="1"/>
  <c r="O216" i="1" s="1"/>
  <c r="J184" i="1"/>
  <c r="J185" i="1" s="1"/>
  <c r="M184" i="1"/>
  <c r="M185" i="1" s="1"/>
  <c r="N184" i="1"/>
  <c r="N185" i="1" s="1"/>
  <c r="P184" i="1"/>
  <c r="P185" i="1" s="1"/>
  <c r="J139" i="1"/>
  <c r="J140" i="1" s="1"/>
  <c r="M139" i="1"/>
  <c r="M140" i="1" s="1"/>
  <c r="N139" i="1"/>
  <c r="N140" i="1" s="1"/>
  <c r="P139" i="1"/>
  <c r="P140" i="1" s="1"/>
  <c r="O137" i="1"/>
  <c r="I137" i="1"/>
  <c r="J120" i="1"/>
  <c r="J121" i="1" s="1"/>
  <c r="M120" i="1"/>
  <c r="M121" i="1" s="1"/>
  <c r="N120" i="1"/>
  <c r="N121" i="1" s="1"/>
  <c r="P120" i="1"/>
  <c r="P121" i="1" s="1"/>
  <c r="O117" i="1"/>
  <c r="I117" i="1"/>
  <c r="O115" i="1"/>
  <c r="K115" i="1"/>
  <c r="I115" i="1"/>
  <c r="K117" i="1"/>
  <c r="L117" i="1"/>
  <c r="O114" i="1"/>
  <c r="I114" i="1"/>
  <c r="J102" i="1"/>
  <c r="J103" i="1" s="1"/>
  <c r="M102" i="1"/>
  <c r="M103" i="1" s="1"/>
  <c r="N102" i="1"/>
  <c r="N103" i="1" s="1"/>
  <c r="P102" i="1"/>
  <c r="P103" i="1" s="1"/>
  <c r="I96" i="1"/>
  <c r="O96" i="1"/>
  <c r="K96" i="1"/>
  <c r="L96" i="1"/>
  <c r="O95" i="1"/>
  <c r="I95" i="1"/>
  <c r="O79" i="1"/>
  <c r="I79" i="1"/>
  <c r="J48" i="1"/>
  <c r="J49" i="1" s="1"/>
  <c r="M48" i="1"/>
  <c r="M49" i="1" s="1"/>
  <c r="N48" i="1"/>
  <c r="N49" i="1" s="1"/>
  <c r="P48" i="1"/>
  <c r="P49" i="1" s="1"/>
  <c r="O46" i="1"/>
  <c r="I46" i="1"/>
  <c r="J31" i="1"/>
  <c r="J32" i="1" s="1"/>
  <c r="M31" i="1"/>
  <c r="M32" i="1" s="1"/>
  <c r="N31" i="1"/>
  <c r="N32" i="1" s="1"/>
  <c r="P31" i="1"/>
  <c r="P32" i="1" s="1"/>
  <c r="O28" i="1"/>
  <c r="L28" i="1"/>
  <c r="K28" i="1"/>
  <c r="I28" i="1"/>
  <c r="O27" i="1"/>
  <c r="L27" i="1"/>
  <c r="K27" i="1"/>
  <c r="I27" i="1"/>
  <c r="O26" i="1"/>
  <c r="L26" i="1"/>
  <c r="K26" i="1"/>
  <c r="I26" i="1"/>
  <c r="O25" i="1"/>
  <c r="L25" i="1"/>
  <c r="K25" i="1"/>
  <c r="I25" i="1"/>
  <c r="O24" i="1"/>
  <c r="L24" i="1"/>
  <c r="K24" i="1"/>
  <c r="I24" i="1"/>
  <c r="O23" i="1"/>
  <c r="L23" i="1"/>
  <c r="K23" i="1"/>
  <c r="I23" i="1"/>
  <c r="I22" i="1"/>
  <c r="O22" i="1"/>
  <c r="J11" i="1"/>
  <c r="M11" i="1"/>
  <c r="N11" i="1"/>
  <c r="P11" i="1"/>
  <c r="P12" i="1" s="1"/>
  <c r="O9" i="1"/>
  <c r="I9" i="1"/>
  <c r="O8" i="1"/>
  <c r="I8" i="1"/>
  <c r="I239" i="1" l="1"/>
  <c r="I67" i="1"/>
  <c r="O184" i="1"/>
  <c r="O185" i="1" s="1"/>
  <c r="Q95" i="1"/>
  <c r="R95" i="1" s="1"/>
  <c r="I11" i="1"/>
  <c r="O277" i="1"/>
  <c r="O278" i="1" s="1"/>
  <c r="Q228" i="1"/>
  <c r="Q79" i="1"/>
  <c r="O48" i="1"/>
  <c r="O49" i="1" s="1"/>
  <c r="O11" i="1"/>
  <c r="O12" i="1" s="1"/>
  <c r="Q22" i="1"/>
  <c r="O31" i="1"/>
  <c r="O32" i="1" s="1"/>
  <c r="Q114" i="1"/>
  <c r="Q115" i="1"/>
  <c r="R115" i="1" s="1"/>
  <c r="Q23" i="1"/>
  <c r="R23" i="1" s="1"/>
  <c r="Q24" i="1"/>
  <c r="R24" i="1" s="1"/>
  <c r="Q25" i="1"/>
  <c r="R25" i="1" s="1"/>
  <c r="Q26" i="1"/>
  <c r="R26" i="1" s="1"/>
  <c r="Q27" i="1"/>
  <c r="R27" i="1" s="1"/>
  <c r="Q28" i="1"/>
  <c r="R28" i="1" s="1"/>
  <c r="O102" i="1"/>
  <c r="O103" i="1" s="1"/>
  <c r="Q96" i="1"/>
  <c r="R96" i="1" s="1"/>
  <c r="O139" i="1"/>
  <c r="O140" i="1" s="1"/>
  <c r="I48" i="1"/>
  <c r="O120" i="1"/>
  <c r="O121" i="1" s="1"/>
  <c r="I31" i="1"/>
  <c r="Q117" i="1"/>
  <c r="R117" i="1" s="1"/>
  <c r="K79" i="1"/>
  <c r="K46" i="1"/>
  <c r="K8" i="1"/>
  <c r="K22" i="1"/>
  <c r="Q29" i="1"/>
  <c r="R29" i="1" s="1"/>
  <c r="L29" i="1"/>
  <c r="K29" i="1"/>
  <c r="Q97" i="1"/>
  <c r="R97" i="1" s="1"/>
  <c r="L97" i="1"/>
  <c r="K97" i="1"/>
  <c r="Q329" i="1"/>
  <c r="Q328" i="1"/>
  <c r="R328" i="1" s="1"/>
  <c r="I32" i="1" l="1"/>
  <c r="I68" i="1"/>
  <c r="I49" i="1"/>
  <c r="I12" i="1"/>
  <c r="R228" i="1"/>
  <c r="R238" i="1" s="1"/>
  <c r="R239" i="1" s="1"/>
  <c r="Q238" i="1"/>
  <c r="Q239" i="1" s="1"/>
  <c r="R329" i="1"/>
  <c r="K31" i="1"/>
  <c r="K32" i="1" s="1"/>
  <c r="R102" i="1"/>
  <c r="R103" i="1" s="1"/>
  <c r="Q31" i="1"/>
  <c r="Q32" i="1" s="1"/>
  <c r="Q120" i="1"/>
  <c r="Q121" i="1" s="1"/>
  <c r="Q102" i="1"/>
  <c r="Q103" i="1" s="1"/>
  <c r="K329" i="1" l="1"/>
  <c r="L329" i="1"/>
  <c r="O60" i="1" l="1"/>
  <c r="O67" i="1" s="1"/>
  <c r="O68" i="1" s="1"/>
  <c r="K184" i="1"/>
  <c r="K185" i="1" s="1"/>
  <c r="L184" i="1"/>
  <c r="L185" i="1" s="1"/>
  <c r="R22" i="1"/>
  <c r="R31" i="1" s="1"/>
  <c r="R32" i="1" s="1"/>
  <c r="R79" i="1"/>
  <c r="R83" i="1" s="1"/>
  <c r="R84" i="1" s="1"/>
  <c r="R114" i="1"/>
  <c r="R120" i="1" s="1"/>
  <c r="R121" i="1" s="1"/>
  <c r="R305" i="1"/>
  <c r="R306" i="1" s="1"/>
  <c r="L61" i="1"/>
  <c r="K61" i="1"/>
  <c r="Q62" i="1" l="1"/>
  <c r="R62" i="1" s="1"/>
  <c r="Q60" i="1"/>
  <c r="Q61" i="1"/>
  <c r="R61" i="1" s="1"/>
  <c r="R60" i="1" l="1"/>
  <c r="R67" i="1" s="1"/>
  <c r="R68" i="1" s="1"/>
  <c r="Q67" i="1"/>
  <c r="Q68" i="1" s="1"/>
  <c r="L60" i="1"/>
  <c r="L62" i="1"/>
  <c r="K60" i="1"/>
  <c r="K62" i="1"/>
  <c r="K67" i="1" l="1"/>
  <c r="K68" i="1" s="1"/>
  <c r="L67" i="1"/>
  <c r="L68" i="1" s="1"/>
  <c r="J375" i="1"/>
  <c r="M375" i="1"/>
  <c r="N375" i="1"/>
  <c r="P375" i="1"/>
  <c r="J305" i="1"/>
  <c r="J306" i="1" s="1"/>
  <c r="M305" i="1"/>
  <c r="M306" i="1" s="1"/>
  <c r="N305" i="1"/>
  <c r="N306" i="1" s="1"/>
  <c r="O305" i="1"/>
  <c r="O306" i="1" s="1"/>
  <c r="P305" i="1"/>
  <c r="P306" i="1" s="1"/>
  <c r="Q305" i="1"/>
  <c r="Q306" i="1" s="1"/>
  <c r="I305" i="1"/>
  <c r="J291" i="1"/>
  <c r="M291" i="1"/>
  <c r="N291" i="1"/>
  <c r="P291" i="1"/>
  <c r="I291" i="1"/>
  <c r="J254" i="1"/>
  <c r="J255" i="1" s="1"/>
  <c r="N254" i="1"/>
  <c r="N255" i="1" s="1"/>
  <c r="P254" i="1"/>
  <c r="P255" i="1" s="1"/>
  <c r="J199" i="1"/>
  <c r="J200" i="1" s="1"/>
  <c r="M199" i="1"/>
  <c r="M200" i="1" s="1"/>
  <c r="N199" i="1"/>
  <c r="N200" i="1" s="1"/>
  <c r="P199" i="1"/>
  <c r="P200" i="1" s="1"/>
  <c r="I199" i="1"/>
  <c r="J83" i="1"/>
  <c r="J84" i="1" s="1"/>
  <c r="M83" i="1"/>
  <c r="M84" i="1" s="1"/>
  <c r="N83" i="1"/>
  <c r="N84" i="1" s="1"/>
  <c r="P83" i="1"/>
  <c r="P84" i="1" s="1"/>
  <c r="K322" i="1"/>
  <c r="K328" i="1"/>
  <c r="K228" i="1"/>
  <c r="K238" i="1" s="1"/>
  <c r="K239" i="1" s="1"/>
  <c r="I200" i="1" l="1"/>
  <c r="I306" i="1"/>
  <c r="M292" i="1"/>
  <c r="I292" i="1"/>
  <c r="P292" i="1"/>
  <c r="N292" i="1"/>
  <c r="J292" i="1"/>
  <c r="P376" i="1"/>
  <c r="M376" i="1"/>
  <c r="N376" i="1"/>
  <c r="J376" i="1"/>
  <c r="K350" i="1"/>
  <c r="K351" i="1" s="1"/>
  <c r="O375" i="1"/>
  <c r="L328" i="1"/>
  <c r="O376" i="1" l="1"/>
  <c r="Q322" i="1"/>
  <c r="Q350" i="1" s="1"/>
  <c r="Q351" i="1" s="1"/>
  <c r="K277" i="1"/>
  <c r="K278" i="1" s="1"/>
  <c r="L228" i="1"/>
  <c r="L238" i="1" s="1"/>
  <c r="L239" i="1" s="1"/>
  <c r="K48" i="1"/>
  <c r="K49" i="1" s="1"/>
  <c r="R322" i="1" l="1"/>
  <c r="R350" i="1" s="1"/>
  <c r="R351" i="1" s="1"/>
  <c r="O291" i="1"/>
  <c r="M254" i="1"/>
  <c r="M255" i="1" l="1"/>
  <c r="O292" i="1"/>
  <c r="O254" i="1"/>
  <c r="O255" i="1" s="1"/>
  <c r="O199" i="1"/>
  <c r="O200" i="1" s="1"/>
  <c r="Q137" i="1"/>
  <c r="R137" i="1" s="1"/>
  <c r="I120" i="1"/>
  <c r="I121" i="1" l="1"/>
  <c r="R215" i="1"/>
  <c r="R216" i="1" s="1"/>
  <c r="Q215" i="1"/>
  <c r="Q216" i="1" s="1"/>
  <c r="O83" i="1"/>
  <c r="O84" i="1" s="1"/>
  <c r="L8" i="1"/>
  <c r="K305" i="1" l="1"/>
  <c r="K306" i="1" s="1"/>
  <c r="L305" i="1"/>
  <c r="L306" i="1" s="1"/>
  <c r="K375" i="1"/>
  <c r="K291" i="1"/>
  <c r="K254" i="1"/>
  <c r="K255" i="1" s="1"/>
  <c r="K215" i="1"/>
  <c r="K216" i="1" s="1"/>
  <c r="K199" i="1"/>
  <c r="K200" i="1" s="1"/>
  <c r="K137" i="1"/>
  <c r="K139" i="1" s="1"/>
  <c r="K140" i="1" s="1"/>
  <c r="K83" i="1"/>
  <c r="K84" i="1" s="1"/>
  <c r="K9" i="1"/>
  <c r="K11" i="1" s="1"/>
  <c r="K114" i="1"/>
  <c r="K120" i="1" s="1"/>
  <c r="K121" i="1" s="1"/>
  <c r="K95" i="1"/>
  <c r="K102" i="1" s="1"/>
  <c r="K103" i="1" s="1"/>
  <c r="K292" i="1" l="1"/>
  <c r="K376" i="1"/>
  <c r="L322" i="1"/>
  <c r="L350" i="1" s="1"/>
  <c r="L351" i="1" s="1"/>
  <c r="L137" i="1" l="1"/>
  <c r="L139" i="1" s="1"/>
  <c r="L140" i="1" s="1"/>
  <c r="L375" i="1" l="1"/>
  <c r="L291" i="1"/>
  <c r="L277" i="1"/>
  <c r="L278" i="1" s="1"/>
  <c r="L215" i="1"/>
  <c r="L216" i="1" s="1"/>
  <c r="I215" i="1"/>
  <c r="L114" i="1"/>
  <c r="L120" i="1" s="1"/>
  <c r="L121" i="1" s="1"/>
  <c r="L95" i="1"/>
  <c r="L102" i="1" s="1"/>
  <c r="L103" i="1" s="1"/>
  <c r="I83" i="1"/>
  <c r="L9" i="1"/>
  <c r="L11" i="1" s="1"/>
  <c r="I84" i="1" l="1"/>
  <c r="I216" i="1"/>
  <c r="L292" i="1"/>
  <c r="L376" i="1"/>
  <c r="R139" i="1"/>
  <c r="R140" i="1" s="1"/>
  <c r="Q139" i="1"/>
  <c r="Q140" i="1" s="1"/>
  <c r="I102" i="1"/>
  <c r="I184" i="1"/>
  <c r="L199" i="1"/>
  <c r="L200" i="1" s="1"/>
  <c r="I254" i="1"/>
  <c r="I139" i="1"/>
  <c r="L254" i="1"/>
  <c r="L255" i="1" s="1"/>
  <c r="L79" i="1"/>
  <c r="L83" i="1" s="1"/>
  <c r="L84" i="1" s="1"/>
  <c r="I103" i="1" l="1"/>
  <c r="I185" i="1"/>
  <c r="I140" i="1"/>
  <c r="I255" i="1"/>
  <c r="R375" i="1"/>
  <c r="R277" i="1"/>
  <c r="R278" i="1" s="1"/>
  <c r="Q277" i="1"/>
  <c r="Q278" i="1" s="1"/>
  <c r="Q291" i="1"/>
  <c r="R291" i="1"/>
  <c r="Q375" i="1"/>
  <c r="L46" i="1"/>
  <c r="L48" i="1" s="1"/>
  <c r="L49" i="1" s="1"/>
  <c r="L22" i="1"/>
  <c r="L31" i="1" s="1"/>
  <c r="L32" i="1" s="1"/>
  <c r="Q9" i="1"/>
  <c r="R292" i="1" l="1"/>
  <c r="Q292" i="1"/>
  <c r="R376" i="1"/>
  <c r="Q376" i="1"/>
  <c r="Q184" i="1"/>
  <c r="Q185" i="1" s="1"/>
  <c r="Q46" i="1"/>
  <c r="R46" i="1" s="1"/>
  <c r="R48" i="1" s="1"/>
  <c r="R49" i="1" s="1"/>
  <c r="Q48" i="1" l="1"/>
  <c r="Q49" i="1" s="1"/>
  <c r="Q83" i="1"/>
  <c r="Q84" i="1" s="1"/>
  <c r="Q199" i="1"/>
  <c r="Q200" i="1" s="1"/>
  <c r="R199" i="1"/>
  <c r="Q254" i="1"/>
  <c r="R200" i="1" l="1"/>
  <c r="Q255" i="1"/>
  <c r="Q8" i="1"/>
  <c r="R8" i="1" l="1"/>
  <c r="R11" i="1" s="1"/>
  <c r="Q11" i="1"/>
  <c r="R12" i="1" l="1"/>
  <c r="Q12" i="1"/>
</calcChain>
</file>

<file path=xl/sharedStrings.xml><?xml version="1.0" encoding="utf-8"?>
<sst xmlns="http://schemas.openxmlformats.org/spreadsheetml/2006/main" count="1178" uniqueCount="492">
  <si>
    <t>PLANTILLA DE PERSONAL</t>
  </si>
  <si>
    <t>UNIDAD RESPONSABLE:   01 PRESIDENCIA</t>
  </si>
  <si>
    <t>NOMBRE DEL EMPLEADO</t>
  </si>
  <si>
    <t xml:space="preserve">PUESTO </t>
  </si>
  <si>
    <t>PLAZA</t>
  </si>
  <si>
    <t>FECHA DE INGRESO</t>
  </si>
  <si>
    <t>SUELDO DIARIO</t>
  </si>
  <si>
    <t xml:space="preserve">SUELDO BASE </t>
  </si>
  <si>
    <t>COMPENSACIÓN</t>
  </si>
  <si>
    <t xml:space="preserve">AGUINALDO </t>
  </si>
  <si>
    <t>PRIMA VACACIONAL</t>
  </si>
  <si>
    <t xml:space="preserve">SUBSIDIO AL EMPLEO </t>
  </si>
  <si>
    <t>IMSS</t>
  </si>
  <si>
    <t xml:space="preserve">I. S. R. </t>
  </si>
  <si>
    <t>CUOTA SINDICAL</t>
  </si>
  <si>
    <t xml:space="preserve">SUELDO NETO </t>
  </si>
  <si>
    <t>C</t>
  </si>
  <si>
    <t>B</t>
  </si>
  <si>
    <t>TOTAL MENSUAL</t>
  </si>
  <si>
    <t>PLAZA:</t>
  </si>
  <si>
    <t>( B ) BASE</t>
  </si>
  <si>
    <t>( C ) CONFIANZA</t>
  </si>
  <si>
    <t>( E ) EVENTUAL</t>
  </si>
  <si>
    <t>( H ) HONORARIOS ASIMILABLES A SALARIOS</t>
  </si>
  <si>
    <t xml:space="preserve">SUELDO BASE/DIETAS </t>
  </si>
  <si>
    <t>REGIDOR</t>
  </si>
  <si>
    <t>VETERINARIO</t>
  </si>
  <si>
    <t>SUELDO BASE/DIETAS</t>
  </si>
  <si>
    <t>SÍNDICO MUNICIPAL</t>
  </si>
  <si>
    <t>UNIDAD RESPONSABLE:   08 OFICIALIA MAYOR</t>
  </si>
  <si>
    <t>OFICIAL MAYOR</t>
  </si>
  <si>
    <t>20</t>
  </si>
  <si>
    <t>MUNICIPIO DE ANGANGUEO MICHOACÁN</t>
  </si>
  <si>
    <t>ALEJANDRA ARANA RAMIREZ</t>
  </si>
  <si>
    <t>SECRETARIO DEL AYUNTAMIENTO</t>
  </si>
  <si>
    <t>S</t>
  </si>
  <si>
    <t>ALDO SOTO GUZMAN</t>
  </si>
  <si>
    <t>AUXILIAR CONTABLE</t>
  </si>
  <si>
    <t>CONTADOR</t>
  </si>
  <si>
    <t>CAJERO</t>
  </si>
  <si>
    <t>DIRECTOR DE OBRAS PÚBLICAS</t>
  </si>
  <si>
    <t>ANTONIO FRANCISCO VÁLDEZ</t>
  </si>
  <si>
    <t>ERIKA ROSALIA MEJIA TEJAS</t>
  </si>
  <si>
    <t>MENSAJERO</t>
  </si>
  <si>
    <t>ALMA PATRICIA RIVERA ARANA</t>
  </si>
  <si>
    <t>JORGE MONROY SOTO</t>
  </si>
  <si>
    <t>MARIA DOLORES HERNANDEZ REYES</t>
  </si>
  <si>
    <t>JOSE GUADALUPE VARGAS DOMINGUEZ</t>
  </si>
  <si>
    <t>ENCARGADA DE BAÑOS PUBLICOS</t>
  </si>
  <si>
    <t>ENCARGADA BIBLIOTECA</t>
  </si>
  <si>
    <t>INSPECTOR DE VARIOS RAMOS</t>
  </si>
  <si>
    <t>BARRENDERO</t>
  </si>
  <si>
    <t>AYUDANTE GENERAL</t>
  </si>
  <si>
    <t>DIRECTOR DE DESARROLLO SOCIAL</t>
  </si>
  <si>
    <t>UNIDAD RESPONSABLE:  08 OFICIALIA MAYOR. SERVICIOS PUBLICOS</t>
  </si>
  <si>
    <t>DIRECTOR DE DESARROLLO RURAL</t>
  </si>
  <si>
    <t>DIRECTOR DE  TURISMO</t>
  </si>
  <si>
    <t>DIRECTOR DE DEPORTE</t>
  </si>
  <si>
    <t>VIRGINIO REYES CASTULO</t>
  </si>
  <si>
    <t>MOISES HINOJOSA FIGUEROA</t>
  </si>
  <si>
    <t>RAFAEL SÁNCHEZ MEJIA</t>
  </si>
  <si>
    <t>RAFAEL DOMINGUEZ GARCÍA</t>
  </si>
  <si>
    <t>JOSÉ GUADALUPE REYES MONROY</t>
  </si>
  <si>
    <t>CLORADOR</t>
  </si>
  <si>
    <t>DIRECTOR DE AGUA POTABLE</t>
  </si>
  <si>
    <t>DIRECTOR COMUNICACION SOCIAL</t>
  </si>
  <si>
    <t>JESUS ADAN GONZALEZ PEREZ</t>
  </si>
  <si>
    <t>RENE TELLEZ MARTINEZ</t>
  </si>
  <si>
    <t>POLICIA MUNICIPAL</t>
  </si>
  <si>
    <t>UNIDAD RESPONSABLE:   03 REGIDURIA</t>
  </si>
  <si>
    <t>UNIDAD RESPONSABLE:  05 SECRETARIA</t>
  </si>
  <si>
    <t>UNIDAD RESPONSABLE:   04 TESORERIA</t>
  </si>
  <si>
    <t>UNIDAD RESPONSABLE:   02 SINDICATURA</t>
  </si>
  <si>
    <t>UNIDAD RESPONSABLE:   07 OBRAS PUBLICAS</t>
  </si>
  <si>
    <t>UNIDAD RESPONSABLE:   08 OFICIALIA MAYOR. AGUA POTABLE</t>
  </si>
  <si>
    <t>UNIDAD RESPONSABLE:   06 PLANEACION</t>
  </si>
  <si>
    <t>SUB DIRECTOR DE OBRAS PUBLICAS</t>
  </si>
  <si>
    <t>ENCARGADO AREA DEL MIGRANTE</t>
  </si>
  <si>
    <t>ANDREA RAMIREZ RAMIREZ</t>
  </si>
  <si>
    <t>AUXILIAR DE PROTECCION CIVIL</t>
  </si>
  <si>
    <t>ENCARGADO DE TRANSPARENCIA</t>
  </si>
  <si>
    <t>DIRECTOR DE PLANEACION</t>
  </si>
  <si>
    <t>UNIDAD RESPONSABLE:   09 DESARROLLO RURAL</t>
  </si>
  <si>
    <t>UNIDAD RESPONSABLE: 14 COMUNICACIÓN SOCIAL</t>
  </si>
  <si>
    <t xml:space="preserve"> </t>
  </si>
  <si>
    <t>DANIEL ALEJANDRO MORA GARCIA</t>
  </si>
  <si>
    <t>TESORERO MUNICIPAL</t>
  </si>
  <si>
    <t>AUXILIAR DE OBRAS DE OBRAS PUBLICAS</t>
  </si>
  <si>
    <t>JARDINERO</t>
  </si>
  <si>
    <t>AUXILIAR ADMINISTRATIVO</t>
  </si>
  <si>
    <t>GABRIEL TELLEZ MARTINEZ</t>
  </si>
  <si>
    <t>EDDY YARIN PERALTA MONTES</t>
  </si>
  <si>
    <t>JOSE ARMANDO PERALTA ANGELES</t>
  </si>
  <si>
    <t>DIRECTOR DE SEGURIDAD PUBLICA</t>
  </si>
  <si>
    <t>MARÍA HILDA DOMÍNGUEZ GARCÍA</t>
  </si>
  <si>
    <t>GABRIEL DOMINGUEZ ALCALA</t>
  </si>
  <si>
    <t>ROBERTO NAVA CRUZ</t>
  </si>
  <si>
    <t>MARTIN MORALES HERNANDEZ</t>
  </si>
  <si>
    <t>GUILLERMO RODRIGUEZ MARTINEZ</t>
  </si>
  <si>
    <t>LUZ ITZEL ROMANO GARCIA</t>
  </si>
  <si>
    <t>ALONDRA MORA LOPEZ</t>
  </si>
  <si>
    <t>OCTAVIO MENDOZA LEGORRETA</t>
  </si>
  <si>
    <t>ALEJANDRO MARTINEZ VAZQUEZ</t>
  </si>
  <si>
    <t>MARIA CECILIA TREJO MIRANDA</t>
  </si>
  <si>
    <t>MARCO ANTONIO VAZQUEZ FLORES</t>
  </si>
  <si>
    <t>RAUL MARTINEZ RAMIREZ</t>
  </si>
  <si>
    <t>NANCY TAPIA SEGUNDO</t>
  </si>
  <si>
    <t>CONSTANTINO MORENO MARTINEZ</t>
  </si>
  <si>
    <t>MARIA CRISTINA PADILLA SALAZAR</t>
  </si>
  <si>
    <t>EFRAIN ORDAZ OROZCO</t>
  </si>
  <si>
    <t>MARIELA VIEYRA GARFIAS</t>
  </si>
  <si>
    <t>JUAN CELSO CARMONA SANCHEZ</t>
  </si>
  <si>
    <t>CINDY TREJO MARTINEZ</t>
  </si>
  <si>
    <t>JESUS MANUEL MARTINEZ VAZQUEZ</t>
  </si>
  <si>
    <t>JOSE MANUEL GARCIA CRUZ</t>
  </si>
  <si>
    <t>SERGIO JAVIER OROZCO GONZALEZ</t>
  </si>
  <si>
    <t>FLORENTINO JIMENEZ SANTIAGO</t>
  </si>
  <si>
    <t>ALBINO MORALES RODRIGUEZ</t>
  </si>
  <si>
    <t>GERARDO GUTIERREZ RAMIREZ</t>
  </si>
  <si>
    <t>SAMANTA REYES SILVA</t>
  </si>
  <si>
    <t>ANDREA URBINA GARCIA</t>
  </si>
  <si>
    <t>JUAN LUIS MIRANDA HINOJOSA</t>
  </si>
  <si>
    <t>JUAN JOSE DOMINGUEZ CRUZ</t>
  </si>
  <si>
    <t>NUBIA MARTHA TELLEZ FLORES</t>
  </si>
  <si>
    <t>JUAN JOSE VALDEZ COLIN</t>
  </si>
  <si>
    <t>JOSE RAFAEL GARCIA COLIN</t>
  </si>
  <si>
    <t>FONTANERO</t>
  </si>
  <si>
    <t>FELIPE DOMINGUEZ GONZALEZ</t>
  </si>
  <si>
    <t>ILIANA SANDOVAL GARDUÑO</t>
  </si>
  <si>
    <t>MARIO ALBERTO DIAZ PACHECO</t>
  </si>
  <si>
    <t>MATILDE REYES MONTOYA</t>
  </si>
  <si>
    <t>NANCY GISEL VELAZQUEZ PERALTA</t>
  </si>
  <si>
    <t>GABRIELA TREJO RAMIREZ</t>
  </si>
  <si>
    <t>GUSTAVO TREJO REYES</t>
  </si>
  <si>
    <t>SALOMON YAÑEZ CONTRERAS</t>
  </si>
  <si>
    <t>DIANA LAURA VAZQUEZ VAZQUEZ</t>
  </si>
  <si>
    <t>LUIS ENRIQUE GUZMAN MENDOZA</t>
  </si>
  <si>
    <t>JOSE ABEL CRUZ PEREZ</t>
  </si>
  <si>
    <t>AIDA ANGELES RAMIREZ</t>
  </si>
  <si>
    <t>ADRIAN PACHECO HERNANDEZ</t>
  </si>
  <si>
    <t>LUIS MIGUEL SANCHEZ TELLEZ</t>
  </si>
  <si>
    <t>ROCIO MIRANDA SANCHEZ</t>
  </si>
  <si>
    <t>VICTOR HUGO MORA ORTEGA</t>
  </si>
  <si>
    <t>TRINIDAD MUJICA TELLEZ</t>
  </si>
  <si>
    <t>ARTEMIO SANCHEZ LUNA</t>
  </si>
  <si>
    <t>ALDO VIEYRA TORRES</t>
  </si>
  <si>
    <t>RAFAEL SEGUNDO MARTINEZ</t>
  </si>
  <si>
    <t>SALUD PAOLA FLORES REYES</t>
  </si>
  <si>
    <t>OMAR ROSAS MEJIA</t>
  </si>
  <si>
    <t>SUELDO QUINCENAL</t>
  </si>
  <si>
    <t>PRISCILA MARTINEZ MARTINEZ</t>
  </si>
  <si>
    <t>MARIA MONSERRAT MEJIA ROSAS</t>
  </si>
  <si>
    <t>MARBELLA TELLO MONDRAGON</t>
  </si>
  <si>
    <t>ASESOR DE OBRAS</t>
  </si>
  <si>
    <t>RUBEN JUAREZ HERNANDEZ</t>
  </si>
  <si>
    <t>CHOFER</t>
  </si>
  <si>
    <t>MARISOL SALAZAR PEREZ</t>
  </si>
  <si>
    <t>ADRIAN SALAZAR CRUZ</t>
  </si>
  <si>
    <t>PABLO GUTIERREZ SANCHEZ</t>
  </si>
  <si>
    <t>LIZBETH ALCANTAR MARTINEZ</t>
  </si>
  <si>
    <t xml:space="preserve">AUXILIAR </t>
  </si>
  <si>
    <t>AUXILIAR</t>
  </si>
  <si>
    <t>ABEL CEDILLO MERCADO</t>
  </si>
  <si>
    <t>DIRECTOR DE PROTECCION CIVIL</t>
  </si>
  <si>
    <t>MARIA ELENA RAMIREZ MONTALVO</t>
  </si>
  <si>
    <t>ENCARGADO DE CONTRALORIA</t>
  </si>
  <si>
    <t>IRMA DOMINGUEZ GARCIA</t>
  </si>
  <si>
    <t>GERARDO BUENO SAMANO</t>
  </si>
  <si>
    <t xml:space="preserve">ASESOR DE PRESIDENCIA </t>
  </si>
  <si>
    <t>RUBEN JESUS DIAZ SIRA</t>
  </si>
  <si>
    <t>JAVIER PACHECO VAZQUEZ</t>
  </si>
  <si>
    <t>JOSE APOLONIO ROMERO REYES</t>
  </si>
  <si>
    <t>JOSE ALONSO RIVERA MORALES</t>
  </si>
  <si>
    <t>OCTAVIO REYES DIAZ</t>
  </si>
  <si>
    <t>JUANA PEREZ CONTRERAS</t>
  </si>
  <si>
    <t>RODRIGO HERNANDEZ MIRANDA</t>
  </si>
  <si>
    <t>DANIELA DOMINGUEZ HINOJOSA</t>
  </si>
  <si>
    <t>MARGARITA BERENISE VAZQUEZ CRUZ</t>
  </si>
  <si>
    <t>MARIA DEL SOCORRO CUEVAS MORALES</t>
  </si>
  <si>
    <t>HECTOR ERNESTO VAZQUEZ GARCIA</t>
  </si>
  <si>
    <t xml:space="preserve">FONTANERO </t>
  </si>
  <si>
    <t>MARCO ANTONIO VAZQUEZ</t>
  </si>
  <si>
    <t xml:space="preserve">AUXILIAR ADMINISTRATIVO  DE SECRETARIA </t>
  </si>
  <si>
    <t>AUXILIAR DE OBRAS DE OBRAS PUBLICAS  "A"</t>
  </si>
  <si>
    <t>PRESIDENTA MUNICIPAL</t>
  </si>
  <si>
    <t>RECOLECTOR DE BASURA</t>
  </si>
  <si>
    <t>COMANDANTE</t>
  </si>
  <si>
    <t>VACANTE</t>
  </si>
  <si>
    <t>RFC</t>
  </si>
  <si>
    <t>CURP</t>
  </si>
  <si>
    <t>DOGH621005LL6</t>
  </si>
  <si>
    <t>DOGH621005MMNMRL00</t>
  </si>
  <si>
    <t>TERG821020GK2</t>
  </si>
  <si>
    <t>TERG821020HMNRYS09</t>
  </si>
  <si>
    <t>MAMP841013L52</t>
  </si>
  <si>
    <t>MAMP841013MMNRRR05</t>
  </si>
  <si>
    <t>MAVA850717AB3</t>
  </si>
  <si>
    <t>MAVA850717HMNRZL00</t>
  </si>
  <si>
    <t>TEMC620710RI9</t>
  </si>
  <si>
    <t>TEMC620710MMNRRC07</t>
  </si>
  <si>
    <t>VAFM830714HY9</t>
  </si>
  <si>
    <t>VAFM830714HMNZLR04</t>
  </si>
  <si>
    <t>MARR511025F20</t>
  </si>
  <si>
    <t>MARR511025HMNRML07</t>
  </si>
  <si>
    <t>TASN820127P90</t>
  </si>
  <si>
    <t>TASN820127MMNPGN08</t>
  </si>
  <si>
    <t>MOMC820525EL8</t>
  </si>
  <si>
    <t>MOMC820525HMNRRN00</t>
  </si>
  <si>
    <t>PASC901214G28</t>
  </si>
  <si>
    <t>PASC901214MMNDLR01</t>
  </si>
  <si>
    <t>EJERCICIO PRESUPUESTAL 2025</t>
  </si>
  <si>
    <t>AARA700107FG4</t>
  </si>
  <si>
    <t>AARA700107MMNRML01</t>
  </si>
  <si>
    <t>MERM940725HX1</t>
  </si>
  <si>
    <t>MERM940725MMNJSN00</t>
  </si>
  <si>
    <t>VACJ800301UK4</t>
  </si>
  <si>
    <t>VACJ800301HMNLLN07</t>
  </si>
  <si>
    <t>MIHJ62120118A</t>
  </si>
  <si>
    <t>MIHJ621201HMNRNN09</t>
  </si>
  <si>
    <t>DOCJ810218CW1</t>
  </si>
  <si>
    <t>DOCJ810218HMNMRN06</t>
  </si>
  <si>
    <t>TEFN8002249E4</t>
  </si>
  <si>
    <t>TEFN800224MDFLLB08</t>
  </si>
  <si>
    <t>SOGA950910K49</t>
  </si>
  <si>
    <t>SOGA950910HMCTZL08</t>
  </si>
  <si>
    <t>JONATHAN HERNANDEZ SALAZAR</t>
  </si>
  <si>
    <t>HESJ000828177</t>
  </si>
  <si>
    <t>HESJ000828HMNRLNA6</t>
  </si>
  <si>
    <t>ASESOR</t>
  </si>
  <si>
    <t>GURG851102P14</t>
  </si>
  <si>
    <t>GURG851102HMNTMR09</t>
  </si>
  <si>
    <t>RESS9901273B6</t>
  </si>
  <si>
    <t>RESS990127MMNYLM09</t>
  </si>
  <si>
    <t>UIGA981124TD4</t>
  </si>
  <si>
    <t>UIGA981124MMNRRN02</t>
  </si>
  <si>
    <t>OAOE811012490</t>
  </si>
  <si>
    <t>OAOE811012HMNRRF00</t>
  </si>
  <si>
    <t>TEMM870708HF6</t>
  </si>
  <si>
    <t>TEMM870708MMNLNR09</t>
  </si>
  <si>
    <t>VIGM970214N68</t>
  </si>
  <si>
    <t>VIGM970214MMNYRR08</t>
  </si>
  <si>
    <t>MOZN800410RK4</t>
  </si>
  <si>
    <t>MOZN800410HGTRMM00</t>
  </si>
  <si>
    <t>NAUM MORA ZAMUDIO</t>
  </si>
  <si>
    <t xml:space="preserve">ASESORA </t>
  </si>
  <si>
    <t>CASJ770101EQ2</t>
  </si>
  <si>
    <t>CASJ770101HMNRNN07</t>
  </si>
  <si>
    <t>MOGD920309RH5</t>
  </si>
  <si>
    <t>MOGD920309HMNRRN03</t>
  </si>
  <si>
    <t>MAVJ000226JN3</t>
  </si>
  <si>
    <t>MAVJ000226HMNRZSA2</t>
  </si>
  <si>
    <t>BUSG820331T95</t>
  </si>
  <si>
    <t>BUSG820331HMCNMR02</t>
  </si>
  <si>
    <t>TEMC891109U63</t>
  </si>
  <si>
    <t>TEMC891109MMNRRN08</t>
  </si>
  <si>
    <t>FAVA5106135F6</t>
  </si>
  <si>
    <t>FAVA510613HMCRLN07</t>
  </si>
  <si>
    <t>METE740718AZA</t>
  </si>
  <si>
    <t>METE740718MMNJJR04</t>
  </si>
  <si>
    <t>FORS950708NV9</t>
  </si>
  <si>
    <t>FORS950708MMNLYL06</t>
  </si>
  <si>
    <t>JISF6310161Z1</t>
  </si>
  <si>
    <t>JISF631016HDFMNL02</t>
  </si>
  <si>
    <t>MORA740701LB1</t>
  </si>
  <si>
    <t>MORA740701HMNRDL02</t>
  </si>
  <si>
    <t>GACM731205J9A</t>
  </si>
  <si>
    <t>GACM731205HMNRRN05</t>
  </si>
  <si>
    <t>AUXILIAR GENERAL OFICIALIA MAY</t>
  </si>
  <si>
    <t xml:space="preserve">AUXILIAR ADMINISTRATIVO </t>
  </si>
  <si>
    <t xml:space="preserve">AUXILIAR GENERAL </t>
  </si>
  <si>
    <t>REDO830918A53</t>
  </si>
  <si>
    <t>REDO830918HMNYZC00</t>
  </si>
  <si>
    <t>JONATHAN DANIEL RAMIREZ LUGO</t>
  </si>
  <si>
    <t>RALJ961210F24</t>
  </si>
  <si>
    <t>RALJ961210HMNMGN06</t>
  </si>
  <si>
    <t>DOHD000430JF1</t>
  </si>
  <si>
    <t>DOHD000430MMNMNNA1</t>
  </si>
  <si>
    <t>SAGI8609039P4</t>
  </si>
  <si>
    <t>SAGI860903MMNNRL08</t>
  </si>
  <si>
    <t>AAML010310EL8</t>
  </si>
  <si>
    <t>AAML010310MMNLRZA4</t>
  </si>
  <si>
    <t>CRUZ NANCY HERNANDEZ REYES</t>
  </si>
  <si>
    <t>MA EUGENIA RAMIREZ MARTINEZ</t>
  </si>
  <si>
    <t>SARA FRANCISCO ANGELES</t>
  </si>
  <si>
    <t>CUMS7303282G9</t>
  </si>
  <si>
    <t>CUMS730328MDFVRC03</t>
  </si>
  <si>
    <t>DOGI6102282R9</t>
  </si>
  <si>
    <t>DOGI610228MMNMRR00</t>
  </si>
  <si>
    <t>VACM961114HA0</t>
  </si>
  <si>
    <t>VACM961114MMNZRR05</t>
  </si>
  <si>
    <t>REMM750723RP1</t>
  </si>
  <si>
    <t>REMM750723MMNYNT04</t>
  </si>
  <si>
    <t>VEPN87010599A</t>
  </si>
  <si>
    <t>VEPN870105MMNLRN02</t>
  </si>
  <si>
    <t>TERG840102SR0</t>
  </si>
  <si>
    <t>TERG840102MMNRMB02</t>
  </si>
  <si>
    <t>DIPM880904UZ3</t>
  </si>
  <si>
    <t>DIPM880904HMNZCR03</t>
  </si>
  <si>
    <t>HERC9403149EA</t>
  </si>
  <si>
    <t>HERC940314MMNRYR09</t>
  </si>
  <si>
    <t>RAME6606095U5</t>
  </si>
  <si>
    <t>RAME660609MMNMRG07</t>
  </si>
  <si>
    <t>FAAS7212204I9</t>
  </si>
  <si>
    <t>FASS721220MMCRNR09</t>
  </si>
  <si>
    <t>COORDINADORA DIF</t>
  </si>
  <si>
    <t>CEMA661216HMNDRB06</t>
  </si>
  <si>
    <t>CEMA661216E6A</t>
  </si>
  <si>
    <t>GACR841117HMNRLF03</t>
  </si>
  <si>
    <t>GACR841117877</t>
  </si>
  <si>
    <t>RIMA950218HMNVRL00</t>
  </si>
  <si>
    <t>RIMA950218C13</t>
  </si>
  <si>
    <t>JUCM910725HMNRSR00</t>
  </si>
  <si>
    <t>JUCM910725IZ7</t>
  </si>
  <si>
    <t>RORA880625HMNMYP00</t>
  </si>
  <si>
    <t>RORA8806257J9</t>
  </si>
  <si>
    <t>REMG770627HMNYND04</t>
  </si>
  <si>
    <t>REMG770627189</t>
  </si>
  <si>
    <t>DOGR730412HMNMRF01</t>
  </si>
  <si>
    <t>DOGR730412SX6</t>
  </si>
  <si>
    <t>SAMR680605HMNNJF03</t>
  </si>
  <si>
    <t>SAMR680605J47</t>
  </si>
  <si>
    <t>HIFM440120HMNNGS05</t>
  </si>
  <si>
    <t>HIFM440120IK1</t>
  </si>
  <si>
    <t>RECV590829HMNYSR07</t>
  </si>
  <si>
    <t>RECV590829D17</t>
  </si>
  <si>
    <t>DANIEL MOLINA MORALES</t>
  </si>
  <si>
    <t>MOMD810616652</t>
  </si>
  <si>
    <t>MOMD810616HMCLRN09</t>
  </si>
  <si>
    <t>NANCY VANESSA GARCIA REYES</t>
  </si>
  <si>
    <t>VANESSA YURITZI  HERNANDEZ SANCHEZ</t>
  </si>
  <si>
    <t>NESTOR SEGUNDO PACHECO</t>
  </si>
  <si>
    <t>GOPJ951001C97</t>
  </si>
  <si>
    <t>GOPJ951001HMCNRS08</t>
  </si>
  <si>
    <t>TEMR820814S15</t>
  </si>
  <si>
    <t>TEMR820814HMNLRN04</t>
  </si>
  <si>
    <t>RARA030110F66</t>
  </si>
  <si>
    <t>RARA030110MMNMMNA3</t>
  </si>
  <si>
    <t>YACS751226134</t>
  </si>
  <si>
    <t>YACS751226HMNXNL09</t>
  </si>
  <si>
    <t>TEMG73032484A</t>
  </si>
  <si>
    <t>TEMG730324HDFLRB07</t>
  </si>
  <si>
    <t>PEME8703269I2</t>
  </si>
  <si>
    <t>PEME870326HMNRND03</t>
  </si>
  <si>
    <t>PEAA020918PG2</t>
  </si>
  <si>
    <t>PEAA020918HMNRNRA3</t>
  </si>
  <si>
    <t>VAGH881226KC0</t>
  </si>
  <si>
    <t>VAGH881226HMNZRC03</t>
  </si>
  <si>
    <t>SEMR8401311I8</t>
  </si>
  <si>
    <t>SEMR840131HMNGRF09</t>
  </si>
  <si>
    <t>GUML930909HW9</t>
  </si>
  <si>
    <t>GULM930909HMCZNS02</t>
  </si>
  <si>
    <t>CUPA951121G1A</t>
  </si>
  <si>
    <t>CUPA951121HMNRRB05</t>
  </si>
  <si>
    <t>GARN870606TJ6</t>
  </si>
  <si>
    <t>GARN870606MMNRYN09</t>
  </si>
  <si>
    <t>VAVD970819DM4</t>
  </si>
  <si>
    <t>VAVD970819MMNZZN00</t>
  </si>
  <si>
    <t>AERA9605186N2</t>
  </si>
  <si>
    <t>AERA960518MMNNMD03</t>
  </si>
  <si>
    <t>PAHA950426Q74</t>
  </si>
  <si>
    <t>PAHA950426HMNCRD02</t>
  </si>
  <si>
    <t>SATL821017BB1</t>
  </si>
  <si>
    <t>SATL821017HMNNLS06</t>
  </si>
  <si>
    <t>MISR041106IM8</t>
  </si>
  <si>
    <t>MISR041106MMNRNCA9</t>
  </si>
  <si>
    <t>MOOV840104DV9</t>
  </si>
  <si>
    <t>MOOV840104HMNRRC02</t>
  </si>
  <si>
    <t>MUTT730710EBA</t>
  </si>
  <si>
    <t>MUTT730710HDFJLR03</t>
  </si>
  <si>
    <t>SALA8508129R5</t>
  </si>
  <si>
    <t>SALA850812HMNNNR00</t>
  </si>
  <si>
    <t>VITA801113GX7</t>
  </si>
  <si>
    <t>VITA801113HMNYRL08</t>
  </si>
  <si>
    <t>HESV031016D14</t>
  </si>
  <si>
    <t>HESV031016MMNRNNA8</t>
  </si>
  <si>
    <t>SEPN910511ER0</t>
  </si>
  <si>
    <t>SEPN910511HMNGCS03</t>
  </si>
  <si>
    <t>SUBDIRECTOR DE SEGURIDAD PUBLI</t>
  </si>
  <si>
    <t>ROGL030712AU0</t>
  </si>
  <si>
    <t>ROGL030712MMNMRZA8</t>
  </si>
  <si>
    <t>ANGEL EDUARDO GARCIA ALCANTAR</t>
  </si>
  <si>
    <t>GAAA031107LF8</t>
  </si>
  <si>
    <t>GAAA031107HMNRLNA6</t>
  </si>
  <si>
    <t>ROMG791102H38</t>
  </si>
  <si>
    <t>ROMG791102HDFDRL06</t>
  </si>
  <si>
    <t>MELO930429KA9</t>
  </si>
  <si>
    <t>MELO930429HMNNGC02</t>
  </si>
  <si>
    <t>MOLA8501167E9</t>
  </si>
  <si>
    <t>MOLA850116MMNRPL06</t>
  </si>
  <si>
    <t>DISR980627C20</t>
  </si>
  <si>
    <t>DISR980627HNEZRB01</t>
  </si>
  <si>
    <t>PECJ840823KR4</t>
  </si>
  <si>
    <t>PECJ840823MMNRNN09</t>
  </si>
  <si>
    <t>PAVJ86021522A</t>
  </si>
  <si>
    <t>PAVJ860215HMNCZV00</t>
  </si>
  <si>
    <t>MIZPA LEVANA HERNANDEZ RESENDIZ</t>
  </si>
  <si>
    <t>HERM9909051W8</t>
  </si>
  <si>
    <t>HERM990905MMNRSZ09</t>
  </si>
  <si>
    <t>MARIO ALBERTO BUCIO TROYA</t>
  </si>
  <si>
    <t>BUTM950909ESA</t>
  </si>
  <si>
    <t>BUTM950909HMNCRR00</t>
  </si>
  <si>
    <t>PARAMEDICO</t>
  </si>
  <si>
    <t>RIAA590405TI1</t>
  </si>
  <si>
    <t>RIAA590405MMNVRL01</t>
  </si>
  <si>
    <t>JORGE SALAZAR MARTINEZ</t>
  </si>
  <si>
    <t>SAMJ760423T87</t>
  </si>
  <si>
    <t>SAMJ760423HMNLRR05</t>
  </si>
  <si>
    <t>ADELA CRUZ JUAREZ</t>
  </si>
  <si>
    <t>CUJA500823RZ3</t>
  </si>
  <si>
    <t>CUJA500823MMNRRD09</t>
  </si>
  <si>
    <t>AGUSTINA HERNANDEZ HERNANDEZ</t>
  </si>
  <si>
    <t>HEHA5208158X0</t>
  </si>
  <si>
    <t>HEHA520815MHGRRG04</t>
  </si>
  <si>
    <t>JUAN HERNANDEZ RANGEL</t>
  </si>
  <si>
    <t>HERJ600102AK9</t>
  </si>
  <si>
    <t>HERJ600102HMNRNN01</t>
  </si>
  <si>
    <t>MIGUEL GARCIA MARQUEZ</t>
  </si>
  <si>
    <t>GAMM461115TR9</t>
  </si>
  <si>
    <t>GAMM461115HMNRRG00</t>
  </si>
  <si>
    <t>ROSA MARIA GARCIA LOPEZ</t>
  </si>
  <si>
    <t>GALR590310RQ5</t>
  </si>
  <si>
    <t>GALR590310MMNRPS07</t>
  </si>
  <si>
    <t>MARGARITO HERNANDEZ ALANIS</t>
  </si>
  <si>
    <t>HEAM490222K90</t>
  </si>
  <si>
    <t>HEAM490222HMNRLR07</t>
  </si>
  <si>
    <t>MOSJ460617G53</t>
  </si>
  <si>
    <t>MOSJ460617HMNNTR00</t>
  </si>
  <si>
    <t>J. ANGEL FLORES RAMIREZ</t>
  </si>
  <si>
    <t>FORJ540807NX4</t>
  </si>
  <si>
    <t>FORA540807HMNLMN04</t>
  </si>
  <si>
    <t>LEVI YAFTE CEDILLO DOMINGUEZ</t>
  </si>
  <si>
    <t>CEDL950915SI1</t>
  </si>
  <si>
    <t>CEDL950915HMNDMV01</t>
  </si>
  <si>
    <t>JOSE APOLINAR RAMIREZ REYES</t>
  </si>
  <si>
    <t>RARA8904277K7</t>
  </si>
  <si>
    <t>RARA890427HMNMYP06</t>
  </si>
  <si>
    <t>HERD910106F26</t>
  </si>
  <si>
    <t>HERD910106MMNRYL08</t>
  </si>
  <si>
    <t>VADG6907192U6</t>
  </si>
  <si>
    <t>VADG690719HMNRMD02</t>
  </si>
  <si>
    <t>RAME710529P25</t>
  </si>
  <si>
    <t>RAME710529MMNMNL04</t>
  </si>
  <si>
    <t>PAULA CARRILLO ESQUIVEL</t>
  </si>
  <si>
    <t>CAEP591028851</t>
  </si>
  <si>
    <t>CAEP591028MMNRSL02</t>
  </si>
  <si>
    <t>SAPM021113QH2</t>
  </si>
  <si>
    <t>SAPM021113MMNLRRA7</t>
  </si>
  <si>
    <t>ROMO771202AV1</t>
  </si>
  <si>
    <t>ROMO771202HDFSJM09</t>
  </si>
  <si>
    <t>SACA0111047B5</t>
  </si>
  <si>
    <t>SACA011104HMNLRDA0</t>
  </si>
  <si>
    <t>NACR980703F11</t>
  </si>
  <si>
    <t>NACR980703HMNVRB07</t>
  </si>
  <si>
    <t>DOAG880712L59</t>
  </si>
  <si>
    <t>DOAG880712HMNMLB05</t>
  </si>
  <si>
    <t>HEMR911011T80</t>
  </si>
  <si>
    <t>HEMR911011HMNRRD05</t>
  </si>
  <si>
    <t>OOGS061008441</t>
  </si>
  <si>
    <t>OOGS061008HMNRNRA8</t>
  </si>
  <si>
    <t>DOGF590820A1A</t>
  </si>
  <si>
    <t>DOGF590820HMNMNL02</t>
  </si>
  <si>
    <t>GUSP671124CC7</t>
  </si>
  <si>
    <t>GUSP671124HMNTNB04</t>
  </si>
  <si>
    <t>MOHM930214FJ7</t>
  </si>
  <si>
    <t>MOHM930214HMCRRR06</t>
  </si>
  <si>
    <t>JUHR7004286Y6</t>
  </si>
  <si>
    <t>JUHR700428HMNRRB02</t>
  </si>
  <si>
    <t>CARLOS ALBERTO MIRANDA PEREA</t>
  </si>
  <si>
    <t>MIPC040826D49</t>
  </si>
  <si>
    <t>MIPC040826HMNRRRA4</t>
  </si>
  <si>
    <t>SALVADOR MARTINEZ MEJIA</t>
  </si>
  <si>
    <t>MAMS710928PX3</t>
  </si>
  <si>
    <t>MAMS710928HMNRJL08</t>
  </si>
  <si>
    <t>EMMANUEL GARCIA VIEYRA</t>
  </si>
  <si>
    <t>GAVE980918MB0</t>
  </si>
  <si>
    <t>GAVE980918HMNRYM05</t>
  </si>
  <si>
    <t>AYUDANTE DE LIMPIA "A"</t>
  </si>
  <si>
    <t>AYUDANTE DE LIMPIA "C"</t>
  </si>
  <si>
    <t>AYUDANTE DE LIMPIA "B"</t>
  </si>
  <si>
    <t>AUXILIAR ADMINISTRATIVO "D"</t>
  </si>
  <si>
    <t>GUARDIA DEL RASTRO MUNICIPAL</t>
  </si>
  <si>
    <t>AYUDANTE DE LIMPIA</t>
  </si>
  <si>
    <t>AYUDANTE DE LIMPIA "F"</t>
  </si>
  <si>
    <t>AUXILIAR GENERAL</t>
  </si>
  <si>
    <t>TOTAL ANUAL</t>
  </si>
  <si>
    <t>DIRECTOR DE CULTURA</t>
  </si>
  <si>
    <t>UNIDAD RESPONSABLE:   12 CULTURA, TURISMO Y DEPORTE.</t>
  </si>
  <si>
    <t>UNIDAD RESPONSABLE:   11 CONTRALORIA Y TRANSPARENCIA.</t>
  </si>
  <si>
    <t>UNIDAD RESPONSABLE:   10  DESARROLLO SOCIAL</t>
  </si>
  <si>
    <t>UNIDAD RESPONSABLE:  13 DIF MUNICIPAL</t>
  </si>
  <si>
    <t>UNIDAD RESPONSABLE:  15 SEGURIDAD PUBLICA</t>
  </si>
  <si>
    <t>UNIDAD RESPONSABLE:  16  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</si>
</sst>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dd/mmm/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sz val="16"/>
      <name val="Arial"/>
      <family val="2"/>
    </font>
    <font>
      <sz val="8"/>
      <color rgb="FF87929F"/>
      <name val="MS Sans Serif"/>
      <family val="2"/>
    </font>
    <font>
      <sz val="8"/>
      <name val="Calibri"/>
      <family val="2"/>
      <scheme val="minor"/>
    </font>
    <font>
      <sz val="14"/>
      <color rgb="FF1E395B"/>
      <name val="Arial"/>
      <family val="2"/>
    </font>
    <font>
      <b/>
      <sz val="14"/>
      <color rgb="FF1E395B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7" tint="0.3999755851924192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A0A0A0"/>
      </right>
      <top style="thin">
        <color rgb="FFA0A0A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313">
    <xf numFmtId="0" fontId="0" fillId="0" borderId="0" xfId="0"/>
    <xf numFmtId="0" fontId="4" fillId="0" borderId="0" xfId="2" applyFont="1" applyAlignment="1">
      <alignment vertical="center"/>
    </xf>
    <xf numFmtId="0" fontId="5" fillId="2" borderId="2" xfId="2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0" fontId="12" fillId="0" borderId="0" xfId="2" applyFont="1" applyAlignment="1">
      <alignment vertical="center"/>
    </xf>
    <xf numFmtId="164" fontId="5" fillId="0" borderId="0" xfId="2" applyNumberFormat="1" applyFont="1" applyAlignment="1">
      <alignment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164" fontId="5" fillId="0" borderId="13" xfId="2" applyNumberFormat="1" applyFont="1" applyBorder="1" applyAlignment="1">
      <alignment vertical="center"/>
    </xf>
    <xf numFmtId="0" fontId="18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49" fontId="13" fillId="0" borderId="11" xfId="2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1" fillId="0" borderId="0" xfId="2" applyFont="1" applyAlignment="1">
      <alignment horizontal="justify" vertical="center" wrapText="1"/>
    </xf>
    <xf numFmtId="0" fontId="15" fillId="0" borderId="0" xfId="2" applyFont="1" applyAlignment="1">
      <alignment horizontal="justify" vertical="center" wrapText="1"/>
    </xf>
    <xf numFmtId="0" fontId="7" fillId="0" borderId="0" xfId="2" applyFont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165" fontId="13" fillId="0" borderId="11" xfId="0" applyNumberFormat="1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164" fontId="10" fillId="0" borderId="0" xfId="2" applyNumberFormat="1" applyFont="1" applyAlignment="1">
      <alignment vertical="center"/>
    </xf>
    <xf numFmtId="0" fontId="6" fillId="0" borderId="14" xfId="2" applyFont="1" applyBorder="1" applyAlignment="1">
      <alignment horizontal="center" vertical="center"/>
    </xf>
    <xf numFmtId="165" fontId="6" fillId="0" borderId="14" xfId="0" applyNumberFormat="1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/>
    </xf>
    <xf numFmtId="165" fontId="13" fillId="0" borderId="14" xfId="0" applyNumberFormat="1" applyFont="1" applyBorder="1" applyAlignment="1">
      <alignment horizontal="center" vertical="center" wrapText="1"/>
    </xf>
    <xf numFmtId="164" fontId="5" fillId="0" borderId="23" xfId="2" applyNumberFormat="1" applyFont="1" applyBorder="1" applyAlignment="1">
      <alignment vertical="center"/>
    </xf>
    <xf numFmtId="165" fontId="6" fillId="0" borderId="11" xfId="0" applyNumberFormat="1" applyFont="1" applyBorder="1" applyAlignment="1">
      <alignment horizontal="center" vertical="center" wrapText="1"/>
    </xf>
    <xf numFmtId="0" fontId="6" fillId="0" borderId="14" xfId="2" applyFont="1" applyBorder="1" applyAlignment="1">
      <alignment vertical="center"/>
    </xf>
    <xf numFmtId="0" fontId="6" fillId="0" borderId="11" xfId="2" applyFont="1" applyBorder="1" applyAlignment="1">
      <alignment vertical="center"/>
    </xf>
    <xf numFmtId="44" fontId="6" fillId="0" borderId="0" xfId="1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1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 wrapText="1"/>
    </xf>
    <xf numFmtId="0" fontId="6" fillId="0" borderId="14" xfId="0" applyFont="1" applyBorder="1" applyAlignment="1">
      <alignment vertical="center" wrapText="1"/>
    </xf>
    <xf numFmtId="44" fontId="6" fillId="0" borderId="14" xfId="1" applyFont="1" applyFill="1" applyBorder="1" applyAlignment="1" applyProtection="1">
      <alignment vertical="center" wrapText="1"/>
    </xf>
    <xf numFmtId="44" fontId="6" fillId="0" borderId="14" xfId="1" applyFont="1" applyFill="1" applyBorder="1" applyAlignment="1">
      <alignment vertical="center" wrapText="1"/>
    </xf>
    <xf numFmtId="164" fontId="6" fillId="0" borderId="14" xfId="1" applyNumberFormat="1" applyFont="1" applyFill="1" applyBorder="1" applyAlignment="1">
      <alignment vertical="center" wrapText="1"/>
    </xf>
    <xf numFmtId="164" fontId="6" fillId="0" borderId="14" xfId="2" applyNumberFormat="1" applyFont="1" applyBorder="1" applyAlignment="1">
      <alignment vertical="center" wrapText="1"/>
    </xf>
    <xf numFmtId="164" fontId="6" fillId="0" borderId="14" xfId="2" applyNumberFormat="1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44" fontId="6" fillId="0" borderId="11" xfId="1" applyFont="1" applyFill="1" applyBorder="1" applyAlignment="1" applyProtection="1">
      <alignment vertical="center" wrapText="1"/>
    </xf>
    <xf numFmtId="164" fontId="6" fillId="0" borderId="11" xfId="1" applyNumberFormat="1" applyFont="1" applyFill="1" applyBorder="1" applyAlignment="1">
      <alignment vertical="center" wrapText="1"/>
    </xf>
    <xf numFmtId="44" fontId="6" fillId="0" borderId="11" xfId="1" applyFont="1" applyFill="1" applyBorder="1" applyAlignment="1">
      <alignment vertical="center" wrapText="1"/>
    </xf>
    <xf numFmtId="164" fontId="6" fillId="0" borderId="11" xfId="2" applyNumberFormat="1" applyFont="1" applyBorder="1" applyAlignment="1">
      <alignment vertical="center" wrapText="1"/>
    </xf>
    <xf numFmtId="164" fontId="6" fillId="0" borderId="11" xfId="2" applyNumberFormat="1" applyFont="1" applyBorder="1" applyAlignment="1">
      <alignment vertical="center"/>
    </xf>
    <xf numFmtId="0" fontId="11" fillId="0" borderId="0" xfId="2" applyFont="1" applyAlignment="1">
      <alignment vertical="center" wrapText="1"/>
    </xf>
    <xf numFmtId="0" fontId="5" fillId="0" borderId="0" xfId="2" applyFont="1" applyAlignment="1">
      <alignment vertical="center" wrapText="1"/>
    </xf>
    <xf numFmtId="164" fontId="6" fillId="0" borderId="0" xfId="2" applyNumberFormat="1" applyFont="1" applyAlignment="1">
      <alignment vertical="center"/>
    </xf>
    <xf numFmtId="0" fontId="11" fillId="0" borderId="0" xfId="2" applyFont="1" applyAlignment="1">
      <alignment vertical="center"/>
    </xf>
    <xf numFmtId="164" fontId="11" fillId="0" borderId="0" xfId="2" applyNumberFormat="1" applyFont="1" applyAlignment="1">
      <alignment vertical="center"/>
    </xf>
    <xf numFmtId="44" fontId="13" fillId="0" borderId="11" xfId="1" applyFont="1" applyFill="1" applyBorder="1" applyAlignment="1" applyProtection="1">
      <alignment vertical="center" wrapText="1"/>
    </xf>
    <xf numFmtId="164" fontId="13" fillId="0" borderId="11" xfId="1" applyNumberFormat="1" applyFont="1" applyFill="1" applyBorder="1" applyAlignment="1">
      <alignment vertical="center" wrapText="1"/>
    </xf>
    <xf numFmtId="44" fontId="13" fillId="0" borderId="11" xfId="1" applyFont="1" applyFill="1" applyBorder="1" applyAlignment="1">
      <alignment vertical="center" wrapText="1"/>
    </xf>
    <xf numFmtId="164" fontId="13" fillId="0" borderId="11" xfId="2" applyNumberFormat="1" applyFont="1" applyBorder="1" applyAlignment="1">
      <alignment vertical="center"/>
    </xf>
    <xf numFmtId="44" fontId="11" fillId="0" borderId="0" xfId="2" applyNumberFormat="1" applyFont="1" applyAlignment="1">
      <alignment vertical="center"/>
    </xf>
    <xf numFmtId="0" fontId="13" fillId="0" borderId="11" xfId="0" applyFont="1" applyBorder="1" applyAlignment="1">
      <alignment vertical="center" wrapText="1"/>
    </xf>
    <xf numFmtId="0" fontId="5" fillId="0" borderId="0" xfId="2" applyFont="1" applyAlignment="1">
      <alignment vertical="center"/>
    </xf>
    <xf numFmtId="0" fontId="6" fillId="0" borderId="14" xfId="2" applyFont="1" applyBorder="1" applyAlignment="1">
      <alignment vertical="center" wrapText="1"/>
    </xf>
    <xf numFmtId="0" fontId="6" fillId="0" borderId="11" xfId="2" applyFont="1" applyBorder="1" applyAlignment="1">
      <alignment vertical="center" wrapText="1"/>
    </xf>
    <xf numFmtId="0" fontId="13" fillId="0" borderId="14" xfId="2" applyFont="1" applyBorder="1" applyAlignment="1">
      <alignment vertical="center"/>
    </xf>
    <xf numFmtId="0" fontId="13" fillId="0" borderId="14" xfId="0" applyFont="1" applyBorder="1" applyAlignment="1">
      <alignment vertical="center" wrapText="1"/>
    </xf>
    <xf numFmtId="44" fontId="13" fillId="0" borderId="14" xfId="1" applyFont="1" applyFill="1" applyBorder="1" applyAlignment="1" applyProtection="1">
      <alignment vertical="center" wrapText="1"/>
    </xf>
    <xf numFmtId="44" fontId="13" fillId="0" borderId="14" xfId="1" applyFont="1" applyFill="1" applyBorder="1" applyAlignment="1">
      <alignment vertical="center" wrapText="1"/>
    </xf>
    <xf numFmtId="164" fontId="13" fillId="0" borderId="14" xfId="1" applyNumberFormat="1" applyFont="1" applyFill="1" applyBorder="1" applyAlignment="1">
      <alignment vertical="center" wrapText="1"/>
    </xf>
    <xf numFmtId="164" fontId="13" fillId="0" borderId="14" xfId="2" applyNumberFormat="1" applyFont="1" applyBorder="1" applyAlignment="1">
      <alignment vertical="center" wrapText="1"/>
    </xf>
    <xf numFmtId="164" fontId="13" fillId="0" borderId="14" xfId="2" applyNumberFormat="1" applyFont="1" applyBorder="1" applyAlignment="1">
      <alignment vertical="center"/>
    </xf>
    <xf numFmtId="0" fontId="13" fillId="0" borderId="11" xfId="2" applyFont="1" applyBorder="1" applyAlignment="1">
      <alignment vertical="center"/>
    </xf>
    <xf numFmtId="164" fontId="13" fillId="0" borderId="11" xfId="2" applyNumberFormat="1" applyFont="1" applyBorder="1" applyAlignment="1">
      <alignment vertical="center" wrapText="1"/>
    </xf>
    <xf numFmtId="49" fontId="13" fillId="0" borderId="11" xfId="2" applyNumberFormat="1" applyFont="1" applyBorder="1" applyAlignment="1">
      <alignment vertical="center" wrapText="1"/>
    </xf>
    <xf numFmtId="165" fontId="13" fillId="0" borderId="11" xfId="0" applyNumberFormat="1" applyFont="1" applyBorder="1" applyAlignment="1">
      <alignment vertical="center" wrapText="1"/>
    </xf>
    <xf numFmtId="49" fontId="13" fillId="0" borderId="14" xfId="2" applyNumberFormat="1" applyFont="1" applyBorder="1" applyAlignment="1">
      <alignment vertical="center" wrapText="1"/>
    </xf>
    <xf numFmtId="49" fontId="6" fillId="0" borderId="0" xfId="2" applyNumberFormat="1" applyFont="1" applyAlignment="1">
      <alignment vertical="center" wrapText="1"/>
    </xf>
    <xf numFmtId="164" fontId="13" fillId="0" borderId="0" xfId="1" applyNumberFormat="1" applyFont="1" applyFill="1" applyBorder="1" applyAlignment="1">
      <alignment vertical="center" wrapText="1"/>
    </xf>
    <xf numFmtId="164" fontId="17" fillId="0" borderId="0" xfId="1" applyNumberFormat="1" applyFont="1" applyFill="1" applyBorder="1" applyAlignment="1">
      <alignment vertical="center" wrapText="1"/>
    </xf>
    <xf numFmtId="0" fontId="17" fillId="0" borderId="0" xfId="2" applyFont="1" applyAlignment="1">
      <alignment vertical="center" wrapText="1"/>
    </xf>
    <xf numFmtId="0" fontId="5" fillId="3" borderId="3" xfId="0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0" fontId="5" fillId="3" borderId="6" xfId="0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44" fontId="13" fillId="0" borderId="0" xfId="1" applyFont="1" applyFill="1" applyBorder="1" applyAlignment="1" applyProtection="1">
      <alignment vertical="center" wrapText="1"/>
    </xf>
    <xf numFmtId="164" fontId="13" fillId="0" borderId="0" xfId="2" applyNumberFormat="1" applyFont="1" applyAlignment="1">
      <alignment vertical="center"/>
    </xf>
    <xf numFmtId="44" fontId="13" fillId="0" borderId="16" xfId="1" applyFont="1" applyFill="1" applyBorder="1" applyAlignment="1" applyProtection="1">
      <alignment vertical="center" wrapText="1"/>
    </xf>
    <xf numFmtId="44" fontId="13" fillId="0" borderId="16" xfId="1" applyFont="1" applyFill="1" applyBorder="1" applyAlignment="1">
      <alignment vertical="center" wrapText="1"/>
    </xf>
    <xf numFmtId="164" fontId="13" fillId="0" borderId="16" xfId="1" applyNumberFormat="1" applyFont="1" applyFill="1" applyBorder="1" applyAlignment="1">
      <alignment vertical="center" wrapText="1"/>
    </xf>
    <xf numFmtId="164" fontId="13" fillId="0" borderId="16" xfId="2" applyNumberFormat="1" applyFont="1" applyBorder="1" applyAlignment="1">
      <alignment vertical="center"/>
    </xf>
    <xf numFmtId="44" fontId="6" fillId="0" borderId="35" xfId="1" applyFont="1" applyFill="1" applyBorder="1" applyAlignment="1">
      <alignment vertical="center"/>
    </xf>
    <xf numFmtId="44" fontId="6" fillId="0" borderId="17" xfId="1" applyFont="1" applyFill="1" applyBorder="1" applyAlignment="1">
      <alignment vertical="center"/>
    </xf>
    <xf numFmtId="0" fontId="19" fillId="0" borderId="0" xfId="0" applyFont="1" applyAlignment="1">
      <alignment vertical="top" wrapText="1"/>
    </xf>
    <xf numFmtId="164" fontId="17" fillId="0" borderId="0" xfId="2" applyNumberFormat="1" applyFont="1" applyAlignment="1">
      <alignment vertical="center"/>
    </xf>
    <xf numFmtId="164" fontId="5" fillId="0" borderId="37" xfId="2" applyNumberFormat="1" applyFont="1" applyBorder="1" applyAlignment="1">
      <alignment vertical="center"/>
    </xf>
    <xf numFmtId="0" fontId="21" fillId="0" borderId="11" xfId="0" applyNumberFormat="1" applyFont="1" applyFill="1" applyBorder="1" applyAlignment="1" applyProtection="1">
      <alignment horizontal="center" vertical="center" wrapText="1"/>
    </xf>
    <xf numFmtId="0" fontId="21" fillId="0" borderId="14" xfId="0" applyNumberFormat="1" applyFont="1" applyFill="1" applyBorder="1" applyAlignment="1" applyProtection="1">
      <alignment horizontal="center" vertical="center" wrapText="1"/>
    </xf>
    <xf numFmtId="0" fontId="21" fillId="0" borderId="42" xfId="0" applyNumberFormat="1" applyFont="1" applyFill="1" applyBorder="1" applyAlignment="1" applyProtection="1">
      <alignment horizontal="center" vertical="center" wrapText="1"/>
    </xf>
    <xf numFmtId="44" fontId="6" fillId="0" borderId="11" xfId="1" applyFont="1" applyFill="1" applyBorder="1" applyAlignment="1">
      <alignment vertical="center"/>
    </xf>
    <xf numFmtId="0" fontId="21" fillId="0" borderId="42" xfId="0" applyNumberFormat="1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1" xfId="2" applyFont="1" applyFill="1" applyBorder="1" applyAlignment="1">
      <alignment vertical="center"/>
    </xf>
    <xf numFmtId="165" fontId="21" fillId="0" borderId="42" xfId="0" applyNumberFormat="1" applyFont="1" applyFill="1" applyBorder="1" applyAlignment="1" applyProtection="1">
      <alignment horizontal="left" vertical="center" wrapText="1"/>
    </xf>
    <xf numFmtId="0" fontId="6" fillId="0" borderId="11" xfId="2" applyFont="1" applyBorder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165" fontId="21" fillId="0" borderId="42" xfId="0" applyNumberFormat="1" applyFont="1" applyFill="1" applyBorder="1" applyAlignment="1" applyProtection="1">
      <alignment horizontal="center" vertical="center" wrapText="1"/>
    </xf>
    <xf numFmtId="49" fontId="6" fillId="0" borderId="0" xfId="2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/>
    </xf>
    <xf numFmtId="0" fontId="5" fillId="2" borderId="28" xfId="2" applyFont="1" applyFill="1" applyBorder="1" applyAlignment="1">
      <alignment horizontal="center" vertical="center"/>
    </xf>
    <xf numFmtId="49" fontId="13" fillId="0" borderId="14" xfId="2" applyNumberFormat="1" applyFont="1" applyBorder="1" applyAlignment="1">
      <alignment horizontal="center" vertical="center" wrapText="1"/>
    </xf>
    <xf numFmtId="49" fontId="13" fillId="0" borderId="0" xfId="2" applyNumberFormat="1" applyFont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44" fontId="13" fillId="0" borderId="0" xfId="1" applyFont="1" applyFill="1" applyBorder="1" applyAlignment="1">
      <alignment vertical="center" wrapText="1"/>
    </xf>
    <xf numFmtId="164" fontId="13" fillId="0" borderId="0" xfId="2" applyNumberFormat="1" applyFont="1" applyBorder="1" applyAlignment="1">
      <alignment vertical="center"/>
    </xf>
    <xf numFmtId="0" fontId="21" fillId="0" borderId="11" xfId="0" applyNumberFormat="1" applyFont="1" applyFill="1" applyBorder="1" applyAlignment="1" applyProtection="1">
      <alignment horizontal="left" vertical="center" wrapText="1"/>
    </xf>
    <xf numFmtId="165" fontId="21" fillId="0" borderId="11" xfId="0" applyNumberFormat="1" applyFont="1" applyFill="1" applyBorder="1" applyAlignment="1" applyProtection="1">
      <alignment horizontal="center" vertical="center" wrapText="1"/>
    </xf>
    <xf numFmtId="44" fontId="21" fillId="0" borderId="11" xfId="1" applyFont="1" applyFill="1" applyBorder="1" applyAlignment="1" applyProtection="1">
      <alignment horizontal="right" vertical="center" wrapText="1"/>
    </xf>
    <xf numFmtId="44" fontId="21" fillId="0" borderId="11" xfId="1" applyFont="1" applyFill="1" applyBorder="1" applyAlignment="1" applyProtection="1">
      <alignment horizontal="center" vertical="center" wrapText="1"/>
    </xf>
    <xf numFmtId="165" fontId="21" fillId="0" borderId="11" xfId="0" applyNumberFormat="1" applyFont="1" applyFill="1" applyBorder="1" applyAlignment="1" applyProtection="1">
      <alignment horizontal="left" vertical="center" wrapText="1"/>
    </xf>
    <xf numFmtId="0" fontId="21" fillId="0" borderId="48" xfId="0" applyNumberFormat="1" applyFont="1" applyFill="1" applyBorder="1" applyAlignment="1" applyProtection="1">
      <alignment horizontal="left" vertical="center" wrapText="1"/>
    </xf>
    <xf numFmtId="0" fontId="13" fillId="0" borderId="14" xfId="0" applyFont="1" applyFill="1" applyBorder="1" applyAlignment="1">
      <alignment vertical="center" wrapText="1"/>
    </xf>
    <xf numFmtId="164" fontId="13" fillId="0" borderId="14" xfId="2" applyNumberFormat="1" applyFont="1" applyFill="1" applyBorder="1" applyAlignment="1">
      <alignment vertical="center"/>
    </xf>
    <xf numFmtId="0" fontId="6" fillId="0" borderId="0" xfId="2" applyFont="1" applyFill="1" applyAlignment="1">
      <alignment horizontal="center" vertical="center"/>
    </xf>
    <xf numFmtId="0" fontId="21" fillId="0" borderId="49" xfId="0" applyNumberFormat="1" applyFont="1" applyFill="1" applyBorder="1" applyAlignment="1" applyProtection="1">
      <alignment horizontal="center" vertical="center" wrapText="1"/>
    </xf>
    <xf numFmtId="0" fontId="13" fillId="0" borderId="34" xfId="0" applyFont="1" applyBorder="1" applyAlignment="1">
      <alignment vertical="center" wrapText="1"/>
    </xf>
    <xf numFmtId="0" fontId="13" fillId="0" borderId="30" xfId="0" applyFont="1" applyBorder="1" applyAlignment="1">
      <alignment vertical="center" wrapText="1"/>
    </xf>
    <xf numFmtId="49" fontId="13" fillId="0" borderId="0" xfId="2" applyNumberFormat="1" applyFont="1" applyBorder="1" applyAlignment="1">
      <alignment horizontal="center" vertical="center" wrapText="1"/>
    </xf>
    <xf numFmtId="0" fontId="13" fillId="0" borderId="11" xfId="2" applyNumberFormat="1" applyFont="1" applyBorder="1" applyAlignment="1">
      <alignment horizontal="center" vertical="center" wrapText="1"/>
    </xf>
    <xf numFmtId="0" fontId="13" fillId="0" borderId="11" xfId="2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vertical="center" wrapText="1"/>
    </xf>
    <xf numFmtId="0" fontId="13" fillId="0" borderId="11" xfId="2" applyFont="1" applyFill="1" applyBorder="1" applyAlignment="1">
      <alignment vertical="center"/>
    </xf>
    <xf numFmtId="49" fontId="13" fillId="0" borderId="11" xfId="2" applyNumberFormat="1" applyFont="1" applyFill="1" applyBorder="1" applyAlignment="1">
      <alignment vertical="center" wrapText="1"/>
    </xf>
    <xf numFmtId="49" fontId="13" fillId="0" borderId="14" xfId="2" applyNumberFormat="1" applyFont="1" applyFill="1" applyBorder="1" applyAlignment="1">
      <alignment vertical="center" wrapText="1"/>
    </xf>
    <xf numFmtId="165" fontId="13" fillId="0" borderId="11" xfId="0" applyNumberFormat="1" applyFont="1" applyFill="1" applyBorder="1" applyAlignment="1">
      <alignment vertical="center" wrapText="1"/>
    </xf>
    <xf numFmtId="44" fontId="6" fillId="0" borderId="0" xfId="1" applyFont="1" applyFill="1" applyBorder="1" applyAlignment="1">
      <alignment vertical="center"/>
    </xf>
    <xf numFmtId="0" fontId="13" fillId="0" borderId="14" xfId="2" applyFont="1" applyFill="1" applyBorder="1" applyAlignment="1">
      <alignment vertical="center"/>
    </xf>
    <xf numFmtId="0" fontId="21" fillId="0" borderId="42" xfId="0" applyFont="1" applyFill="1" applyBorder="1" applyAlignment="1">
      <alignment horizontal="center" vertical="center" wrapText="1"/>
    </xf>
    <xf numFmtId="0" fontId="21" fillId="0" borderId="42" xfId="0" applyFont="1" applyFill="1" applyBorder="1" applyAlignment="1">
      <alignment horizontal="left" vertical="center" wrapText="1"/>
    </xf>
    <xf numFmtId="165" fontId="21" fillId="0" borderId="42" xfId="0" applyNumberFormat="1" applyFont="1" applyFill="1" applyBorder="1" applyAlignment="1">
      <alignment horizontal="left" vertical="center" wrapText="1"/>
    </xf>
    <xf numFmtId="44" fontId="5" fillId="0" borderId="20" xfId="1" applyFont="1" applyBorder="1" applyAlignment="1">
      <alignment vertical="center"/>
    </xf>
    <xf numFmtId="44" fontId="6" fillId="0" borderId="0" xfId="1" applyFont="1" applyAlignment="1">
      <alignment vertical="center"/>
    </xf>
    <xf numFmtId="44" fontId="6" fillId="2" borderId="21" xfId="1" applyFont="1" applyFill="1" applyBorder="1" applyAlignment="1">
      <alignment vertical="center"/>
    </xf>
    <xf numFmtId="44" fontId="6" fillId="2" borderId="22" xfId="1" applyFont="1" applyFill="1" applyBorder="1" applyAlignment="1">
      <alignment vertical="center"/>
    </xf>
    <xf numFmtId="44" fontId="5" fillId="0" borderId="20" xfId="1" applyFont="1" applyFill="1" applyBorder="1" applyAlignment="1">
      <alignment vertical="center"/>
    </xf>
    <xf numFmtId="44" fontId="6" fillId="0" borderId="0" xfId="1" applyFont="1" applyAlignment="1">
      <alignment horizontal="center" vertical="center"/>
    </xf>
    <xf numFmtId="0" fontId="6" fillId="0" borderId="14" xfId="2" applyNumberFormat="1" applyFont="1" applyBorder="1" applyAlignment="1">
      <alignment horizontal="center" vertical="center" wrapText="1"/>
    </xf>
    <xf numFmtId="44" fontId="5" fillId="0" borderId="0" xfId="1" applyFont="1" applyFill="1" applyBorder="1" applyAlignment="1">
      <alignment vertical="center"/>
    </xf>
    <xf numFmtId="0" fontId="6" fillId="0" borderId="0" xfId="2" applyFont="1" applyFill="1" applyAlignment="1">
      <alignment vertical="center"/>
    </xf>
    <xf numFmtId="0" fontId="5" fillId="0" borderId="0" xfId="2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Alignment="1">
      <alignment horizontal="center" vertical="center"/>
    </xf>
    <xf numFmtId="164" fontId="5" fillId="0" borderId="0" xfId="2" applyNumberFormat="1" applyFont="1" applyFill="1" applyBorder="1" applyAlignment="1">
      <alignment vertical="center"/>
    </xf>
    <xf numFmtId="0" fontId="13" fillId="0" borderId="0" xfId="2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3" fillId="0" borderId="0" xfId="2" applyFont="1" applyFill="1" applyAlignment="1">
      <alignment vertical="center"/>
    </xf>
    <xf numFmtId="164" fontId="5" fillId="0" borderId="0" xfId="2" applyNumberFormat="1" applyFont="1" applyFill="1" applyAlignment="1">
      <alignment vertical="center"/>
    </xf>
    <xf numFmtId="44" fontId="6" fillId="0" borderId="0" xfId="1" applyFont="1" applyFill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6" xfId="0" applyFont="1" applyBorder="1" applyAlignment="1">
      <alignment vertical="center" wrapText="1"/>
    </xf>
    <xf numFmtId="0" fontId="21" fillId="0" borderId="16" xfId="0" applyNumberFormat="1" applyFont="1" applyFill="1" applyBorder="1" applyAlignment="1" applyProtection="1">
      <alignment horizontal="center" vertical="center" wrapText="1"/>
    </xf>
    <xf numFmtId="0" fontId="6" fillId="0" borderId="16" xfId="2" applyFont="1" applyBorder="1" applyAlignment="1">
      <alignment vertical="center"/>
    </xf>
    <xf numFmtId="165" fontId="6" fillId="0" borderId="16" xfId="0" applyNumberFormat="1" applyFont="1" applyBorder="1" applyAlignment="1">
      <alignment horizontal="center" vertical="center" wrapText="1"/>
    </xf>
    <xf numFmtId="44" fontId="6" fillId="0" borderId="16" xfId="1" applyFont="1" applyFill="1" applyBorder="1" applyAlignment="1">
      <alignment vertical="center" wrapText="1"/>
    </xf>
    <xf numFmtId="0" fontId="6" fillId="0" borderId="14" xfId="2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vertical="center" wrapText="1"/>
    </xf>
    <xf numFmtId="0" fontId="6" fillId="0" borderId="14" xfId="2" applyFont="1" applyFill="1" applyBorder="1" applyAlignment="1">
      <alignment vertical="center"/>
    </xf>
    <xf numFmtId="165" fontId="6" fillId="0" borderId="14" xfId="0" applyNumberFormat="1" applyFont="1" applyFill="1" applyBorder="1" applyAlignment="1">
      <alignment horizontal="center" vertical="center" wrapText="1"/>
    </xf>
    <xf numFmtId="164" fontId="13" fillId="0" borderId="11" xfId="2" applyNumberFormat="1" applyFont="1" applyFill="1" applyBorder="1" applyAlignment="1">
      <alignment vertical="center"/>
    </xf>
    <xf numFmtId="0" fontId="13" fillId="0" borderId="11" xfId="2" applyFont="1" applyFill="1" applyBorder="1" applyAlignment="1">
      <alignment horizontal="center" vertical="center"/>
    </xf>
    <xf numFmtId="0" fontId="13" fillId="0" borderId="14" xfId="2" applyNumberFormat="1" applyFont="1" applyFill="1" applyBorder="1" applyAlignment="1">
      <alignment horizontal="center" vertical="center" wrapText="1"/>
    </xf>
    <xf numFmtId="0" fontId="13" fillId="0" borderId="14" xfId="2" applyNumberFormat="1" applyFont="1" applyBorder="1" applyAlignment="1">
      <alignment horizontal="center" vertical="center" wrapText="1"/>
    </xf>
    <xf numFmtId="164" fontId="13" fillId="0" borderId="11" xfId="0" applyNumberFormat="1" applyFont="1" applyFill="1" applyBorder="1" applyAlignment="1">
      <alignment vertical="center" wrapText="1"/>
    </xf>
    <xf numFmtId="44" fontId="6" fillId="0" borderId="0" xfId="1" applyFont="1" applyFill="1" applyBorder="1" applyAlignment="1">
      <alignment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6" fillId="0" borderId="36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165" fontId="13" fillId="0" borderId="0" xfId="0" applyNumberFormat="1" applyFont="1" applyFill="1" applyBorder="1" applyAlignment="1">
      <alignment vertical="center" wrapText="1"/>
    </xf>
    <xf numFmtId="164" fontId="5" fillId="0" borderId="0" xfId="2" applyNumberFormat="1" applyFont="1" applyBorder="1" applyAlignment="1">
      <alignment vertical="center"/>
    </xf>
    <xf numFmtId="165" fontId="21" fillId="0" borderId="0" xfId="0" applyNumberFormat="1" applyFont="1" applyFill="1" applyBorder="1" applyAlignment="1" applyProtection="1">
      <alignment horizontal="left" vertical="center" wrapText="1"/>
    </xf>
    <xf numFmtId="164" fontId="5" fillId="0" borderId="52" xfId="2" applyNumberFormat="1" applyFont="1" applyBorder="1" applyAlignment="1">
      <alignment vertical="center"/>
    </xf>
    <xf numFmtId="164" fontId="5" fillId="0" borderId="32" xfId="2" applyNumberFormat="1" applyFont="1" applyBorder="1" applyAlignment="1">
      <alignment vertical="center"/>
    </xf>
    <xf numFmtId="164" fontId="5" fillId="0" borderId="20" xfId="2" applyNumberFormat="1" applyFont="1" applyBorder="1" applyAlignment="1">
      <alignment vertical="center"/>
    </xf>
    <xf numFmtId="0" fontId="6" fillId="0" borderId="30" xfId="2" applyFont="1" applyBorder="1" applyAlignment="1">
      <alignment horizontal="center" vertical="center"/>
    </xf>
    <xf numFmtId="0" fontId="6" fillId="0" borderId="34" xfId="2" applyFont="1" applyBorder="1" applyAlignment="1">
      <alignment horizontal="center" vertical="center"/>
    </xf>
    <xf numFmtId="165" fontId="6" fillId="0" borderId="38" xfId="0" applyNumberFormat="1" applyFont="1" applyBorder="1" applyAlignment="1">
      <alignment horizontal="center" vertical="center" wrapText="1"/>
    </xf>
    <xf numFmtId="44" fontId="6" fillId="0" borderId="16" xfId="1" applyFont="1" applyFill="1" applyBorder="1" applyAlignment="1" applyProtection="1">
      <alignment vertical="center" wrapText="1"/>
    </xf>
    <xf numFmtId="44" fontId="6" fillId="0" borderId="38" xfId="1" applyFont="1" applyFill="1" applyBorder="1" applyAlignment="1">
      <alignment vertical="center" wrapText="1"/>
    </xf>
    <xf numFmtId="164" fontId="6" fillId="0" borderId="16" xfId="1" applyNumberFormat="1" applyFont="1" applyFill="1" applyBorder="1" applyAlignment="1">
      <alignment vertical="center" wrapText="1"/>
    </xf>
    <xf numFmtId="164" fontId="6" fillId="0" borderId="16" xfId="2" applyNumberFormat="1" applyFont="1" applyBorder="1" applyAlignment="1">
      <alignment vertical="center" wrapText="1"/>
    </xf>
    <xf numFmtId="164" fontId="6" fillId="0" borderId="16" xfId="2" applyNumberFormat="1" applyFont="1" applyBorder="1" applyAlignment="1">
      <alignment vertical="center"/>
    </xf>
    <xf numFmtId="44" fontId="6" fillId="0" borderId="17" xfId="1" applyFont="1" applyBorder="1" applyAlignment="1">
      <alignment vertical="center"/>
    </xf>
    <xf numFmtId="164" fontId="11" fillId="0" borderId="52" xfId="2" applyNumberFormat="1" applyFont="1" applyBorder="1" applyAlignment="1">
      <alignment vertical="center"/>
    </xf>
    <xf numFmtId="164" fontId="11" fillId="0" borderId="32" xfId="2" applyNumberFormat="1" applyFont="1" applyBorder="1" applyAlignment="1">
      <alignment vertical="center"/>
    </xf>
    <xf numFmtId="164" fontId="11" fillId="0" borderId="20" xfId="2" applyNumberFormat="1" applyFont="1" applyBorder="1" applyAlignment="1">
      <alignment vertical="center"/>
    </xf>
    <xf numFmtId="44" fontId="6" fillId="0" borderId="14" xfId="1" applyFont="1" applyFill="1" applyBorder="1" applyAlignment="1">
      <alignment vertical="center"/>
    </xf>
    <xf numFmtId="164" fontId="11" fillId="0" borderId="52" xfId="2" applyNumberFormat="1" applyFont="1" applyFill="1" applyBorder="1" applyAlignment="1">
      <alignment vertical="center"/>
    </xf>
    <xf numFmtId="164" fontId="11" fillId="0" borderId="32" xfId="2" applyNumberFormat="1" applyFont="1" applyFill="1" applyBorder="1" applyAlignment="1">
      <alignment vertical="center"/>
    </xf>
    <xf numFmtId="164" fontId="11" fillId="0" borderId="20" xfId="2" applyNumberFormat="1" applyFont="1" applyFill="1" applyBorder="1" applyAlignment="1">
      <alignment vertical="center"/>
    </xf>
    <xf numFmtId="165" fontId="13" fillId="0" borderId="0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vertical="center" wrapText="1"/>
    </xf>
    <xf numFmtId="164" fontId="11" fillId="0" borderId="5" xfId="2" applyNumberFormat="1" applyFont="1" applyBorder="1" applyAlignment="1">
      <alignment vertical="center"/>
    </xf>
    <xf numFmtId="164" fontId="11" fillId="0" borderId="27" xfId="2" applyNumberFormat="1" applyFont="1" applyBorder="1" applyAlignment="1">
      <alignment vertical="center"/>
    </xf>
    <xf numFmtId="164" fontId="11" fillId="0" borderId="22" xfId="2" applyNumberFormat="1" applyFont="1" applyBorder="1" applyAlignment="1">
      <alignment vertical="center"/>
    </xf>
    <xf numFmtId="0" fontId="21" fillId="0" borderId="53" xfId="0" applyNumberFormat="1" applyFont="1" applyFill="1" applyBorder="1" applyAlignment="1">
      <alignment horizontal="center" vertical="center" wrapText="1"/>
    </xf>
    <xf numFmtId="0" fontId="21" fillId="0" borderId="53" xfId="0" applyNumberFormat="1" applyFont="1" applyFill="1" applyBorder="1" applyAlignment="1" applyProtection="1">
      <alignment horizontal="center" vertical="center" wrapText="1"/>
    </xf>
    <xf numFmtId="0" fontId="21" fillId="0" borderId="51" xfId="0" applyNumberFormat="1" applyFont="1" applyFill="1" applyBorder="1" applyAlignment="1">
      <alignment horizontal="center" vertical="center" wrapText="1"/>
    </xf>
    <xf numFmtId="0" fontId="21" fillId="0" borderId="54" xfId="0" applyFont="1" applyFill="1" applyBorder="1" applyAlignment="1">
      <alignment horizontal="left" vertical="center" wrapText="1"/>
    </xf>
    <xf numFmtId="0" fontId="21" fillId="0" borderId="54" xfId="0" applyFont="1" applyFill="1" applyBorder="1" applyAlignment="1">
      <alignment horizontal="center" vertical="center" wrapText="1"/>
    </xf>
    <xf numFmtId="165" fontId="13" fillId="0" borderId="16" xfId="0" applyNumberFormat="1" applyFont="1" applyFill="1" applyBorder="1" applyAlignment="1">
      <alignment vertical="center" wrapText="1"/>
    </xf>
    <xf numFmtId="165" fontId="21" fillId="0" borderId="54" xfId="0" applyNumberFormat="1" applyFont="1" applyFill="1" applyBorder="1" applyAlignment="1">
      <alignment horizontal="left" vertical="center" wrapText="1"/>
    </xf>
    <xf numFmtId="44" fontId="5" fillId="0" borderId="32" xfId="1" applyFont="1" applyBorder="1" applyAlignment="1">
      <alignment vertical="center"/>
    </xf>
    <xf numFmtId="44" fontId="5" fillId="0" borderId="52" xfId="1" applyFont="1" applyBorder="1" applyAlignment="1">
      <alignment vertical="center"/>
    </xf>
    <xf numFmtId="164" fontId="5" fillId="0" borderId="5" xfId="2" applyNumberFormat="1" applyFont="1" applyBorder="1" applyAlignment="1">
      <alignment vertical="center"/>
    </xf>
    <xf numFmtId="164" fontId="5" fillId="0" borderId="27" xfId="2" applyNumberFormat="1" applyFont="1" applyBorder="1" applyAlignment="1">
      <alignment vertical="center"/>
    </xf>
    <xf numFmtId="164" fontId="5" fillId="0" borderId="22" xfId="2" applyNumberFormat="1" applyFont="1" applyBorder="1" applyAlignment="1">
      <alignment vertical="center"/>
    </xf>
    <xf numFmtId="44" fontId="21" fillId="0" borderId="42" xfId="1" applyFont="1" applyFill="1" applyBorder="1" applyAlignment="1" applyProtection="1">
      <alignment horizontal="right" vertical="center" wrapText="1"/>
    </xf>
    <xf numFmtId="0" fontId="11" fillId="0" borderId="31" xfId="2" applyFont="1" applyBorder="1" applyAlignment="1">
      <alignment horizontal="center" vertical="center"/>
    </xf>
    <xf numFmtId="0" fontId="11" fillId="0" borderId="52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52" xfId="2" applyFont="1" applyBorder="1" applyAlignment="1">
      <alignment horizontal="center" vertical="center"/>
    </xf>
    <xf numFmtId="0" fontId="3" fillId="0" borderId="0" xfId="2" applyFont="1" applyAlignment="1">
      <alignment vertical="top"/>
    </xf>
    <xf numFmtId="0" fontId="5" fillId="2" borderId="7" xfId="2" applyFont="1" applyFill="1" applyBorder="1" applyAlignment="1">
      <alignment horizontal="center" vertical="center" wrapText="1"/>
    </xf>
    <xf numFmtId="0" fontId="6" fillId="2" borderId="15" xfId="2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vertical="center" wrapText="1"/>
    </xf>
    <xf numFmtId="0" fontId="5" fillId="0" borderId="12" xfId="2" applyFont="1" applyBorder="1" applyAlignment="1">
      <alignment vertical="center"/>
    </xf>
    <xf numFmtId="0" fontId="5" fillId="0" borderId="13" xfId="2" applyFont="1" applyBorder="1" applyAlignment="1">
      <alignment vertical="center"/>
    </xf>
    <xf numFmtId="0" fontId="5" fillId="2" borderId="41" xfId="2" applyFont="1" applyFill="1" applyBorder="1" applyAlignment="1">
      <alignment horizontal="center" vertical="center" wrapText="1"/>
    </xf>
    <xf numFmtId="0" fontId="5" fillId="2" borderId="26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vertical="center"/>
    </xf>
    <xf numFmtId="0" fontId="5" fillId="2" borderId="8" xfId="2" applyFont="1" applyFill="1" applyBorder="1" applyAlignment="1">
      <alignment vertical="center" wrapText="1"/>
    </xf>
    <xf numFmtId="0" fontId="5" fillId="2" borderId="16" xfId="2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0" borderId="32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52" xfId="2" applyFont="1" applyFill="1" applyBorder="1" applyAlignment="1">
      <alignment horizontal="center" vertical="center"/>
    </xf>
    <xf numFmtId="0" fontId="5" fillId="0" borderId="37" xfId="2" applyFont="1" applyBorder="1" applyAlignment="1">
      <alignment vertical="center"/>
    </xf>
    <xf numFmtId="0" fontId="3" fillId="0" borderId="0" xfId="2" applyFont="1" applyAlignment="1">
      <alignment vertical="center"/>
    </xf>
    <xf numFmtId="0" fontId="6" fillId="2" borderId="50" xfId="2" applyFont="1" applyFill="1" applyBorder="1" applyAlignment="1">
      <alignment horizontal="center" vertical="center" wrapText="1"/>
    </xf>
    <xf numFmtId="0" fontId="5" fillId="2" borderId="14" xfId="2" applyFont="1" applyFill="1" applyBorder="1" applyAlignment="1">
      <alignment vertical="center" wrapText="1"/>
    </xf>
    <xf numFmtId="0" fontId="6" fillId="2" borderId="33" xfId="2" applyFont="1" applyFill="1" applyBorder="1" applyAlignment="1">
      <alignment vertical="center" wrapText="1"/>
    </xf>
    <xf numFmtId="0" fontId="5" fillId="2" borderId="33" xfId="2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29" xfId="0" applyFont="1" applyFill="1" applyBorder="1" applyAlignment="1">
      <alignment vertical="center" wrapText="1"/>
    </xf>
    <xf numFmtId="0" fontId="5" fillId="2" borderId="1" xfId="2" applyFont="1" applyFill="1" applyBorder="1" applyAlignment="1">
      <alignment vertical="center"/>
    </xf>
    <xf numFmtId="0" fontId="5" fillId="2" borderId="3" xfId="2" applyFont="1" applyFill="1" applyBorder="1" applyAlignment="1">
      <alignment vertical="center"/>
    </xf>
    <xf numFmtId="0" fontId="5" fillId="2" borderId="28" xfId="2" applyFont="1" applyFill="1" applyBorder="1" applyAlignment="1">
      <alignment vertical="center"/>
    </xf>
    <xf numFmtId="0" fontId="5" fillId="2" borderId="27" xfId="2" applyFont="1" applyFill="1" applyBorder="1" applyAlignment="1">
      <alignment vertical="center"/>
    </xf>
    <xf numFmtId="0" fontId="6" fillId="2" borderId="16" xfId="2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38" xfId="2" applyFont="1" applyFill="1" applyBorder="1" applyAlignment="1">
      <alignment horizontal="center" vertical="center" wrapText="1"/>
    </xf>
    <xf numFmtId="0" fontId="5" fillId="2" borderId="21" xfId="2" applyFont="1" applyFill="1" applyBorder="1" applyAlignment="1">
      <alignment horizontal="center" vertical="center" wrapText="1"/>
    </xf>
    <xf numFmtId="0" fontId="5" fillId="2" borderId="22" xfId="2" applyFont="1" applyFill="1" applyBorder="1" applyAlignment="1">
      <alignment horizontal="center" vertical="center" wrapText="1"/>
    </xf>
    <xf numFmtId="0" fontId="5" fillId="0" borderId="23" xfId="2" applyFont="1" applyBorder="1" applyAlignment="1">
      <alignment vertical="center"/>
    </xf>
    <xf numFmtId="0" fontId="22" fillId="2" borderId="21" xfId="0" applyNumberFormat="1" applyFont="1" applyFill="1" applyBorder="1" applyAlignment="1" applyProtection="1">
      <alignment horizontal="center" vertical="center" wrapText="1"/>
    </xf>
    <xf numFmtId="0" fontId="22" fillId="2" borderId="22" xfId="0" applyNumberFormat="1" applyFont="1" applyFill="1" applyBorder="1" applyAlignment="1" applyProtection="1">
      <alignment horizontal="center" vertical="center" wrapText="1"/>
    </xf>
    <xf numFmtId="0" fontId="22" fillId="2" borderId="1" xfId="0" applyNumberFormat="1" applyFont="1" applyFill="1" applyBorder="1" applyAlignment="1" applyProtection="1">
      <alignment horizontal="center" vertical="center" wrapText="1"/>
    </xf>
    <xf numFmtId="0" fontId="22" fillId="2" borderId="28" xfId="0" applyNumberFormat="1" applyFont="1" applyFill="1" applyBorder="1" applyAlignment="1" applyProtection="1">
      <alignment horizontal="center" vertical="center" wrapText="1"/>
    </xf>
    <xf numFmtId="0" fontId="5" fillId="2" borderId="18" xfId="2" applyFont="1" applyFill="1" applyBorder="1" applyAlignment="1">
      <alignment horizontal="center" vertical="center" wrapText="1"/>
    </xf>
    <xf numFmtId="0" fontId="6" fillId="2" borderId="47" xfId="2" applyFont="1" applyFill="1" applyBorder="1" applyAlignment="1">
      <alignment horizontal="center" vertical="center" wrapText="1"/>
    </xf>
    <xf numFmtId="0" fontId="5" fillId="2" borderId="18" xfId="2" applyFont="1" applyFill="1" applyBorder="1" applyAlignment="1">
      <alignment vertical="center" wrapText="1"/>
    </xf>
    <xf numFmtId="0" fontId="6" fillId="2" borderId="47" xfId="2" applyFont="1" applyFill="1" applyBorder="1" applyAlignment="1">
      <alignment vertical="center" wrapText="1"/>
    </xf>
    <xf numFmtId="0" fontId="5" fillId="2" borderId="43" xfId="2" applyFont="1" applyFill="1" applyBorder="1" applyAlignment="1">
      <alignment vertical="center" wrapText="1"/>
    </xf>
    <xf numFmtId="0" fontId="5" fillId="2" borderId="44" xfId="2" applyFont="1" applyFill="1" applyBorder="1" applyAlignment="1">
      <alignment vertical="center" wrapText="1"/>
    </xf>
    <xf numFmtId="0" fontId="5" fillId="2" borderId="45" xfId="0" applyFont="1" applyFill="1" applyBorder="1" applyAlignment="1">
      <alignment vertical="center" wrapText="1"/>
    </xf>
    <xf numFmtId="0" fontId="5" fillId="2" borderId="46" xfId="0" applyFont="1" applyFill="1" applyBorder="1" applyAlignment="1">
      <alignment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6" fillId="2" borderId="19" xfId="2" applyFont="1" applyFill="1" applyBorder="1" applyAlignment="1">
      <alignment horizontal="center" vertical="center" wrapText="1"/>
    </xf>
    <xf numFmtId="0" fontId="5" fillId="2" borderId="39" xfId="2" applyFont="1" applyFill="1" applyBorder="1" applyAlignment="1">
      <alignment vertical="center" wrapText="1"/>
    </xf>
    <xf numFmtId="0" fontId="5" fillId="2" borderId="40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36" xfId="2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21" xfId="2" applyFont="1" applyFill="1" applyBorder="1" applyAlignment="1">
      <alignment vertical="center"/>
    </xf>
    <xf numFmtId="0" fontId="5" fillId="2" borderId="22" xfId="2" applyFont="1" applyFill="1" applyBorder="1" applyAlignment="1">
      <alignment vertical="center"/>
    </xf>
    <xf numFmtId="0" fontId="5" fillId="2" borderId="24" xfId="2" applyFont="1" applyFill="1" applyBorder="1" applyAlignment="1">
      <alignment vertical="center"/>
    </xf>
    <xf numFmtId="44" fontId="6" fillId="2" borderId="21" xfId="1" applyFont="1" applyFill="1" applyBorder="1" applyAlignment="1">
      <alignment vertical="center"/>
    </xf>
    <xf numFmtId="44" fontId="6" fillId="2" borderId="22" xfId="1" applyFont="1" applyFill="1" applyBorder="1" applyAlignment="1">
      <alignment vertical="center"/>
    </xf>
    <xf numFmtId="0" fontId="5" fillId="2" borderId="1" xfId="2" applyFont="1" applyFill="1" applyBorder="1" applyAlignment="1">
      <alignment vertical="center" wrapText="1"/>
    </xf>
    <xf numFmtId="0" fontId="5" fillId="2" borderId="2" xfId="2" applyFont="1" applyFill="1" applyBorder="1" applyAlignment="1">
      <alignment vertical="center" wrapText="1"/>
    </xf>
    <xf numFmtId="0" fontId="5" fillId="2" borderId="28" xfId="2" applyFont="1" applyFill="1" applyBorder="1" applyAlignment="1">
      <alignment vertical="center" wrapText="1"/>
    </xf>
    <xf numFmtId="0" fontId="5" fillId="2" borderId="5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27" xfId="2" applyFont="1" applyFill="1" applyBorder="1" applyAlignment="1">
      <alignment vertical="center" wrapText="1"/>
    </xf>
    <xf numFmtId="0" fontId="16" fillId="2" borderId="7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3350172</xdr:colOff>
      <xdr:row>9</xdr:row>
      <xdr:rowOff>0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712122" y="672311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4"/>
  <sheetViews>
    <sheetView tabSelected="1" topLeftCell="C304" zoomScale="42" zoomScaleNormal="42" workbookViewId="0">
      <selection activeCell="T304" sqref="T1:T1048576"/>
    </sheetView>
  </sheetViews>
  <sheetFormatPr baseColWidth="10" defaultColWidth="11.44140625" defaultRowHeight="18.75" customHeight="1" x14ac:dyDescent="0.3"/>
  <cols>
    <col min="1" max="1" width="10.33203125" style="14" customWidth="1"/>
    <col min="2" max="3" width="60.33203125" style="43" customWidth="1"/>
    <col min="4" max="4" width="53.21875" style="43" customWidth="1"/>
    <col min="5" max="5" width="40.5546875" style="24" customWidth="1"/>
    <col min="6" max="6" width="12.21875" style="14" bestFit="1" customWidth="1"/>
    <col min="7" max="7" width="23.88671875" style="14" customWidth="1"/>
    <col min="8" max="8" width="20.109375" style="15" customWidth="1"/>
    <col min="9" max="9" width="26" style="15" customWidth="1"/>
    <col min="10" max="10" width="27.33203125" style="15" bestFit="1" customWidth="1"/>
    <col min="11" max="11" width="24.44140625" style="15" bestFit="1" customWidth="1"/>
    <col min="12" max="12" width="21.6640625" style="15" customWidth="1"/>
    <col min="13" max="13" width="21.109375" style="16" customWidth="1"/>
    <col min="14" max="14" width="13.109375" style="16" customWidth="1"/>
    <col min="15" max="15" width="23.88671875" style="15" bestFit="1" customWidth="1"/>
    <col min="16" max="16" width="20.109375" style="15" customWidth="1"/>
    <col min="17" max="17" width="27.33203125" style="15" bestFit="1" customWidth="1"/>
    <col min="18" max="18" width="28.33203125" style="4" customWidth="1"/>
    <col min="19" max="19" width="28.33203125" style="160" customWidth="1"/>
    <col min="20" max="16384" width="11.44140625" style="8"/>
  </cols>
  <sheetData>
    <row r="1" spans="1:19" s="1" customFormat="1" ht="30" customHeight="1" x14ac:dyDescent="0.3">
      <c r="A1" s="256" t="s">
        <v>32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4"/>
      <c r="S1" s="160"/>
    </row>
    <row r="2" spans="1:19" s="1" customFormat="1" ht="30" customHeight="1" x14ac:dyDescent="0.3">
      <c r="A2" s="235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4"/>
      <c r="S2" s="160"/>
    </row>
    <row r="3" spans="1:19" s="1" customFormat="1" ht="30" customHeight="1" thickBot="1" x14ac:dyDescent="0.35">
      <c r="A3" s="235" t="s">
        <v>210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4"/>
      <c r="S3" s="160"/>
    </row>
    <row r="4" spans="1:19" s="4" customFormat="1" ht="24.9" customHeight="1" x14ac:dyDescent="0.3">
      <c r="A4" s="115"/>
      <c r="B4" s="305" t="s">
        <v>1</v>
      </c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9"/>
      <c r="S4" s="161"/>
    </row>
    <row r="5" spans="1:19" s="4" customFormat="1" ht="24.9" customHeight="1" thickBot="1" x14ac:dyDescent="0.35">
      <c r="A5" s="116"/>
      <c r="B5" s="307"/>
      <c r="C5" s="308"/>
      <c r="D5" s="308"/>
      <c r="E5" s="308"/>
      <c r="F5" s="308"/>
      <c r="G5" s="308"/>
      <c r="H5" s="308"/>
      <c r="I5" s="308"/>
      <c r="J5" s="308"/>
      <c r="K5" s="308"/>
      <c r="L5" s="308"/>
      <c r="M5" s="308"/>
      <c r="N5" s="308"/>
      <c r="O5" s="308"/>
      <c r="P5" s="308"/>
      <c r="Q5" s="308"/>
      <c r="R5" s="310"/>
      <c r="S5" s="161"/>
    </row>
    <row r="6" spans="1:19" s="7" customFormat="1" ht="27.9" customHeight="1" x14ac:dyDescent="0.3">
      <c r="A6" s="281"/>
      <c r="B6" s="283" t="s">
        <v>2</v>
      </c>
      <c r="C6" s="279" t="s">
        <v>188</v>
      </c>
      <c r="D6" s="277" t="s">
        <v>189</v>
      </c>
      <c r="E6" s="285" t="s">
        <v>3</v>
      </c>
      <c r="F6" s="287" t="s">
        <v>4</v>
      </c>
      <c r="G6" s="289" t="s">
        <v>5</v>
      </c>
      <c r="H6" s="238" t="s">
        <v>6</v>
      </c>
      <c r="I6" s="238" t="s">
        <v>7</v>
      </c>
      <c r="J6" s="238" t="s">
        <v>8</v>
      </c>
      <c r="K6" s="238" t="s">
        <v>9</v>
      </c>
      <c r="L6" s="238" t="s">
        <v>10</v>
      </c>
      <c r="M6" s="238" t="s">
        <v>11</v>
      </c>
      <c r="N6" s="238" t="s">
        <v>12</v>
      </c>
      <c r="O6" s="238" t="s">
        <v>13</v>
      </c>
      <c r="P6" s="238" t="s">
        <v>14</v>
      </c>
      <c r="Q6" s="241" t="s">
        <v>15</v>
      </c>
      <c r="R6" s="300" t="s">
        <v>149</v>
      </c>
      <c r="S6" s="162"/>
    </row>
    <row r="7" spans="1:19" s="7" customFormat="1" ht="27.9" customHeight="1" thickBot="1" x14ac:dyDescent="0.35">
      <c r="A7" s="282"/>
      <c r="B7" s="284"/>
      <c r="C7" s="280"/>
      <c r="D7" s="278"/>
      <c r="E7" s="286"/>
      <c r="F7" s="288"/>
      <c r="G7" s="290"/>
      <c r="H7" s="239"/>
      <c r="I7" s="239"/>
      <c r="J7" s="239"/>
      <c r="K7" s="239"/>
      <c r="L7" s="239"/>
      <c r="M7" s="239"/>
      <c r="N7" s="240"/>
      <c r="O7" s="240"/>
      <c r="P7" s="239"/>
      <c r="Q7" s="242"/>
      <c r="R7" s="302"/>
      <c r="S7" s="162"/>
    </row>
    <row r="8" spans="1:19" s="25" customFormat="1" ht="39.9" customHeight="1" x14ac:dyDescent="0.3">
      <c r="A8" s="196">
        <v>164</v>
      </c>
      <c r="B8" s="187" t="s">
        <v>94</v>
      </c>
      <c r="C8" s="102" t="s">
        <v>190</v>
      </c>
      <c r="D8" s="102" t="s">
        <v>191</v>
      </c>
      <c r="E8" s="44" t="s">
        <v>184</v>
      </c>
      <c r="F8" s="36" t="s">
        <v>16</v>
      </c>
      <c r="G8" s="31">
        <v>45536</v>
      </c>
      <c r="H8" s="45">
        <v>1800.8927000000001</v>
      </c>
      <c r="I8" s="46">
        <f>27374*2</f>
        <v>54748</v>
      </c>
      <c r="J8" s="47"/>
      <c r="K8" s="46">
        <f>+H8*45</f>
        <v>81040.171500000011</v>
      </c>
      <c r="L8" s="46">
        <f>+H8*20*0.25</f>
        <v>9004.4634999999998</v>
      </c>
      <c r="M8" s="46">
        <v>0</v>
      </c>
      <c r="N8" s="48"/>
      <c r="O8" s="45">
        <f>5446*2</f>
        <v>10892</v>
      </c>
      <c r="P8" s="48"/>
      <c r="Q8" s="49">
        <f>+I8+M8-O8</f>
        <v>43856</v>
      </c>
      <c r="R8" s="96">
        <f>+Q8/2</f>
        <v>21928</v>
      </c>
      <c r="S8" s="147"/>
    </row>
    <row r="9" spans="1:19" s="9" customFormat="1" ht="39.9" customHeight="1" thickBot="1" x14ac:dyDescent="0.35">
      <c r="A9" s="197">
        <v>165</v>
      </c>
      <c r="B9" s="188" t="s">
        <v>133</v>
      </c>
      <c r="C9" s="172" t="s">
        <v>192</v>
      </c>
      <c r="D9" s="172" t="s">
        <v>193</v>
      </c>
      <c r="E9" s="171" t="s">
        <v>168</v>
      </c>
      <c r="F9" s="173" t="s">
        <v>16</v>
      </c>
      <c r="G9" s="198">
        <v>45536</v>
      </c>
      <c r="H9" s="199">
        <v>516.86860000000001</v>
      </c>
      <c r="I9" s="200">
        <f>7841*2</f>
        <v>15682</v>
      </c>
      <c r="J9" s="201"/>
      <c r="K9" s="175">
        <f>+H9*45</f>
        <v>23259.087</v>
      </c>
      <c r="L9" s="175">
        <f>+H9*20*0.25</f>
        <v>2584.3429999999998</v>
      </c>
      <c r="M9" s="175">
        <v>0</v>
      </c>
      <c r="N9" s="202"/>
      <c r="O9" s="199">
        <f>841*2</f>
        <v>1682</v>
      </c>
      <c r="P9" s="201"/>
      <c r="Q9" s="203">
        <f>+I9+M9-O9</f>
        <v>14000</v>
      </c>
      <c r="R9" s="204">
        <v>7000</v>
      </c>
      <c r="S9" s="147"/>
    </row>
    <row r="10" spans="1:19" ht="30" customHeight="1" thickBot="1" x14ac:dyDescent="0.35">
      <c r="A10" s="7"/>
      <c r="B10" s="56" t="s">
        <v>19</v>
      </c>
      <c r="C10" s="56"/>
      <c r="D10" s="56"/>
      <c r="E10" s="57"/>
      <c r="F10" s="4"/>
      <c r="G10" s="110"/>
      <c r="H10" s="58"/>
      <c r="I10" s="4"/>
      <c r="J10" s="58"/>
      <c r="K10" s="58"/>
      <c r="L10" s="58"/>
      <c r="M10" s="13"/>
      <c r="N10" s="13"/>
      <c r="O10" s="13"/>
      <c r="P10" s="13"/>
      <c r="Q10" s="13"/>
      <c r="R10" s="153"/>
      <c r="S10" s="38"/>
    </row>
    <row r="11" spans="1:19" ht="30" customHeight="1" thickBot="1" x14ac:dyDescent="0.35">
      <c r="A11" s="7"/>
      <c r="B11" s="56" t="s">
        <v>20</v>
      </c>
      <c r="C11" s="56"/>
      <c r="D11" s="56"/>
      <c r="E11" s="57"/>
      <c r="F11" s="243" t="s">
        <v>18</v>
      </c>
      <c r="G11" s="244"/>
      <c r="H11" s="244"/>
      <c r="I11" s="17">
        <f>+I8+I9</f>
        <v>70430</v>
      </c>
      <c r="J11" s="17">
        <f t="shared" ref="J11:R11" si="0">+J8+J9</f>
        <v>0</v>
      </c>
      <c r="K11" s="17">
        <f t="shared" si="0"/>
        <v>104299.25850000001</v>
      </c>
      <c r="L11" s="17">
        <f t="shared" si="0"/>
        <v>11588.806499999999</v>
      </c>
      <c r="M11" s="17">
        <f t="shared" si="0"/>
        <v>0</v>
      </c>
      <c r="N11" s="17">
        <f t="shared" si="0"/>
        <v>0</v>
      </c>
      <c r="O11" s="17">
        <f t="shared" si="0"/>
        <v>12574</v>
      </c>
      <c r="P11" s="17">
        <f t="shared" si="0"/>
        <v>0</v>
      </c>
      <c r="Q11" s="17">
        <f t="shared" si="0"/>
        <v>57856</v>
      </c>
      <c r="R11" s="17">
        <f t="shared" si="0"/>
        <v>28928</v>
      </c>
      <c r="S11" s="164"/>
    </row>
    <row r="12" spans="1:19" ht="30" customHeight="1" thickBot="1" x14ac:dyDescent="0.35">
      <c r="A12" s="9"/>
      <c r="B12" s="56" t="s">
        <v>21</v>
      </c>
      <c r="C12" s="56"/>
      <c r="D12" s="56"/>
      <c r="E12" s="56"/>
      <c r="F12" s="233" t="s">
        <v>484</v>
      </c>
      <c r="G12" s="234"/>
      <c r="H12" s="234"/>
      <c r="I12" s="195">
        <f>+I11*12</f>
        <v>845160</v>
      </c>
      <c r="J12" s="193">
        <v>0</v>
      </c>
      <c r="K12" s="195">
        <v>104299.25850000001</v>
      </c>
      <c r="L12" s="193">
        <v>11588.806499999999</v>
      </c>
      <c r="M12" s="195">
        <v>0</v>
      </c>
      <c r="N12" s="193">
        <v>0</v>
      </c>
      <c r="O12" s="195">
        <f>+O11*12</f>
        <v>150888</v>
      </c>
      <c r="P12" s="193">
        <f t="shared" ref="P12:R12" si="1">+P11*12</f>
        <v>0</v>
      </c>
      <c r="Q12" s="195">
        <f t="shared" si="1"/>
        <v>694272</v>
      </c>
      <c r="R12" s="194">
        <f t="shared" si="1"/>
        <v>347136</v>
      </c>
      <c r="S12" s="38"/>
    </row>
    <row r="13" spans="1:19" ht="30" customHeight="1" x14ac:dyDescent="0.3">
      <c r="A13" s="9"/>
      <c r="B13" s="56" t="s">
        <v>22</v>
      </c>
      <c r="C13" s="56"/>
      <c r="D13" s="56"/>
      <c r="E13" s="56"/>
      <c r="F13" s="59"/>
      <c r="G13" s="10"/>
      <c r="H13" s="59"/>
      <c r="I13" s="60"/>
      <c r="J13" s="60"/>
      <c r="K13" s="60"/>
      <c r="L13" s="60"/>
      <c r="M13" s="60"/>
      <c r="N13" s="60"/>
      <c r="O13" s="60"/>
      <c r="P13" s="60"/>
      <c r="Q13" s="60"/>
      <c r="R13" s="153"/>
      <c r="S13" s="38"/>
    </row>
    <row r="14" spans="1:19" ht="30" customHeight="1" x14ac:dyDescent="0.3">
      <c r="A14" s="9"/>
      <c r="B14" s="56" t="s">
        <v>23</v>
      </c>
      <c r="C14" s="56"/>
      <c r="D14" s="56"/>
      <c r="E14" s="56"/>
      <c r="F14" s="59"/>
      <c r="G14" s="10"/>
      <c r="H14" s="59"/>
      <c r="I14" s="60"/>
      <c r="J14" s="60"/>
      <c r="K14" s="60"/>
      <c r="L14" s="60"/>
      <c r="M14" s="60"/>
      <c r="N14" s="60"/>
      <c r="O14" s="60"/>
      <c r="P14" s="60"/>
      <c r="Q14" s="60"/>
      <c r="R14" s="153"/>
      <c r="S14" s="38"/>
    </row>
    <row r="15" spans="1:19" s="12" customFormat="1" ht="30" customHeight="1" x14ac:dyDescent="0.3">
      <c r="A15" s="256" t="s">
        <v>32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56"/>
      <c r="O15" s="256"/>
      <c r="P15" s="256"/>
      <c r="Q15" s="256"/>
      <c r="R15" s="153"/>
      <c r="S15" s="38"/>
    </row>
    <row r="16" spans="1:19" s="12" customFormat="1" ht="30" customHeight="1" x14ac:dyDescent="0.3">
      <c r="A16" s="235" t="s">
        <v>0</v>
      </c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  <c r="P16" s="235"/>
      <c r="Q16" s="235"/>
      <c r="R16" s="153"/>
      <c r="S16" s="38"/>
    </row>
    <row r="17" spans="1:19" s="12" customFormat="1" ht="30" customHeight="1" thickBot="1" x14ac:dyDescent="0.35">
      <c r="A17" s="235" t="s">
        <v>210</v>
      </c>
      <c r="B17" s="235"/>
      <c r="C17" s="235"/>
      <c r="D17" s="235"/>
      <c r="E17" s="235"/>
      <c r="F17" s="235"/>
      <c r="G17" s="235"/>
      <c r="H17" s="235"/>
      <c r="I17" s="235"/>
      <c r="J17" s="235"/>
      <c r="K17" s="235"/>
      <c r="L17" s="235"/>
      <c r="M17" s="235"/>
      <c r="N17" s="235"/>
      <c r="O17" s="235"/>
      <c r="P17" s="235"/>
      <c r="Q17" s="235"/>
      <c r="R17" s="153"/>
      <c r="S17" s="38"/>
    </row>
    <row r="18" spans="1:19" s="5" customFormat="1" ht="24.9" customHeight="1" x14ac:dyDescent="0.3">
      <c r="A18" s="115"/>
      <c r="B18" s="267" t="s">
        <v>69</v>
      </c>
      <c r="C18" s="264"/>
      <c r="D18" s="264"/>
      <c r="E18" s="264"/>
      <c r="F18" s="264"/>
      <c r="G18" s="264"/>
      <c r="H18" s="264"/>
      <c r="I18" s="264"/>
      <c r="J18" s="264"/>
      <c r="K18" s="264"/>
      <c r="L18" s="264"/>
      <c r="M18" s="264"/>
      <c r="N18" s="264"/>
      <c r="O18" s="264"/>
      <c r="P18" s="264"/>
      <c r="Q18" s="264"/>
      <c r="R18" s="268"/>
      <c r="S18" s="162"/>
    </row>
    <row r="19" spans="1:19" s="5" customFormat="1" ht="24.9" customHeight="1" thickBot="1" x14ac:dyDescent="0.35">
      <c r="A19" s="116"/>
      <c r="B19" s="269"/>
      <c r="C19" s="265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70"/>
      <c r="S19" s="162"/>
    </row>
    <row r="20" spans="1:19" s="5" customFormat="1" ht="24.9" customHeight="1" x14ac:dyDescent="0.3">
      <c r="A20" s="281"/>
      <c r="B20" s="283" t="s">
        <v>2</v>
      </c>
      <c r="C20" s="294" t="s">
        <v>188</v>
      </c>
      <c r="D20" s="274" t="s">
        <v>189</v>
      </c>
      <c r="E20" s="292" t="s">
        <v>3</v>
      </c>
      <c r="F20" s="238" t="s">
        <v>4</v>
      </c>
      <c r="G20" s="250" t="s">
        <v>5</v>
      </c>
      <c r="H20" s="238" t="s">
        <v>6</v>
      </c>
      <c r="I20" s="238" t="s">
        <v>24</v>
      </c>
      <c r="J20" s="238" t="s">
        <v>8</v>
      </c>
      <c r="K20" s="238" t="s">
        <v>9</v>
      </c>
      <c r="L20" s="238" t="s">
        <v>10</v>
      </c>
      <c r="M20" s="238" t="s">
        <v>11</v>
      </c>
      <c r="N20" s="238" t="s">
        <v>12</v>
      </c>
      <c r="O20" s="238" t="s">
        <v>13</v>
      </c>
      <c r="P20" s="238" t="s">
        <v>14</v>
      </c>
      <c r="Q20" s="241" t="s">
        <v>15</v>
      </c>
      <c r="R20" s="300" t="s">
        <v>149</v>
      </c>
      <c r="S20" s="162"/>
    </row>
    <row r="21" spans="1:19" s="5" customFormat="1" ht="24.9" customHeight="1" thickBot="1" x14ac:dyDescent="0.35">
      <c r="A21" s="291"/>
      <c r="B21" s="284"/>
      <c r="C21" s="295"/>
      <c r="D21" s="275"/>
      <c r="E21" s="293"/>
      <c r="F21" s="239"/>
      <c r="G21" s="272"/>
      <c r="H21" s="239"/>
      <c r="I21" s="239"/>
      <c r="J21" s="239"/>
      <c r="K21" s="239"/>
      <c r="L21" s="239"/>
      <c r="M21" s="239"/>
      <c r="N21" s="240"/>
      <c r="O21" s="240"/>
      <c r="P21" s="239"/>
      <c r="Q21" s="242"/>
      <c r="R21" s="302"/>
      <c r="S21" s="162"/>
    </row>
    <row r="22" spans="1:19" s="25" customFormat="1" ht="39.9" customHeight="1" x14ac:dyDescent="0.3">
      <c r="A22" s="117">
        <v>166</v>
      </c>
      <c r="B22" s="44" t="s">
        <v>150</v>
      </c>
      <c r="C22" s="102" t="s">
        <v>194</v>
      </c>
      <c r="D22" s="102" t="s">
        <v>195</v>
      </c>
      <c r="E22" s="44" t="s">
        <v>25</v>
      </c>
      <c r="F22" s="36" t="s">
        <v>16</v>
      </c>
      <c r="G22" s="35">
        <v>45536</v>
      </c>
      <c r="H22" s="45">
        <v>975.76260000000002</v>
      </c>
      <c r="I22" s="46">
        <f>14832*2</f>
        <v>29664</v>
      </c>
      <c r="J22" s="47"/>
      <c r="K22" s="46">
        <f>+H22*45</f>
        <v>43909.317000000003</v>
      </c>
      <c r="L22" s="46">
        <f>+H22*20*0.25</f>
        <v>4878.8130000000001</v>
      </c>
      <c r="M22" s="46">
        <v>0</v>
      </c>
      <c r="N22" s="47"/>
      <c r="O22" s="46">
        <f>2334*2</f>
        <v>4668</v>
      </c>
      <c r="P22" s="47"/>
      <c r="Q22" s="49">
        <f>+I22-O22</f>
        <v>24996</v>
      </c>
      <c r="R22" s="96">
        <f>+Q22/2</f>
        <v>12498</v>
      </c>
      <c r="S22" s="147"/>
    </row>
    <row r="23" spans="1:19" s="25" customFormat="1" ht="39.9" customHeight="1" thickBot="1" x14ac:dyDescent="0.35">
      <c r="A23" s="118">
        <v>167</v>
      </c>
      <c r="B23" s="50" t="s">
        <v>102</v>
      </c>
      <c r="C23" s="101" t="s">
        <v>196</v>
      </c>
      <c r="D23" s="101" t="s">
        <v>197</v>
      </c>
      <c r="E23" s="50" t="s">
        <v>25</v>
      </c>
      <c r="F23" s="37" t="s">
        <v>16</v>
      </c>
      <c r="G23" s="35">
        <v>45536</v>
      </c>
      <c r="H23" s="45">
        <v>975.76260000000002</v>
      </c>
      <c r="I23" s="46">
        <f t="shared" ref="I23:I28" si="2">14832*2</f>
        <v>29664</v>
      </c>
      <c r="J23" s="47"/>
      <c r="K23" s="46">
        <f t="shared" ref="K23:K28" si="3">+H23*45</f>
        <v>43909.317000000003</v>
      </c>
      <c r="L23" s="46">
        <f t="shared" ref="L23:L28" si="4">+H23*20*0.25</f>
        <v>4878.8130000000001</v>
      </c>
      <c r="M23" s="46">
        <v>0</v>
      </c>
      <c r="N23" s="47"/>
      <c r="O23" s="46">
        <f t="shared" ref="O23:O28" si="5">2334*2</f>
        <v>4668</v>
      </c>
      <c r="P23" s="47"/>
      <c r="Q23" s="49">
        <f t="shared" ref="Q23:Q28" si="6">+I23-O23</f>
        <v>24996</v>
      </c>
      <c r="R23" s="96">
        <f t="shared" ref="R23:R28" si="7">+Q23/2</f>
        <v>12498</v>
      </c>
      <c r="S23" s="147"/>
    </row>
    <row r="24" spans="1:19" s="25" customFormat="1" ht="39.9" customHeight="1" x14ac:dyDescent="0.3">
      <c r="A24" s="117">
        <v>168</v>
      </c>
      <c r="B24" s="50" t="s">
        <v>103</v>
      </c>
      <c r="C24" s="101" t="s">
        <v>198</v>
      </c>
      <c r="D24" s="101" t="s">
        <v>199</v>
      </c>
      <c r="E24" s="50" t="s">
        <v>25</v>
      </c>
      <c r="F24" s="37" t="s">
        <v>16</v>
      </c>
      <c r="G24" s="35">
        <v>45536</v>
      </c>
      <c r="H24" s="45">
        <v>975.76260000000002</v>
      </c>
      <c r="I24" s="46">
        <f t="shared" si="2"/>
        <v>29664</v>
      </c>
      <c r="J24" s="47"/>
      <c r="K24" s="46">
        <f t="shared" si="3"/>
        <v>43909.317000000003</v>
      </c>
      <c r="L24" s="46">
        <f t="shared" si="4"/>
        <v>4878.8130000000001</v>
      </c>
      <c r="M24" s="46">
        <v>0</v>
      </c>
      <c r="N24" s="47"/>
      <c r="O24" s="46">
        <f t="shared" si="5"/>
        <v>4668</v>
      </c>
      <c r="P24" s="47"/>
      <c r="Q24" s="49">
        <f t="shared" si="6"/>
        <v>24996</v>
      </c>
      <c r="R24" s="96">
        <f t="shared" si="7"/>
        <v>12498</v>
      </c>
      <c r="S24" s="147"/>
    </row>
    <row r="25" spans="1:19" s="25" customFormat="1" ht="39.9" customHeight="1" thickBot="1" x14ac:dyDescent="0.35">
      <c r="A25" s="118">
        <v>169</v>
      </c>
      <c r="B25" s="50" t="s">
        <v>104</v>
      </c>
      <c r="C25" s="101" t="s">
        <v>200</v>
      </c>
      <c r="D25" s="101" t="s">
        <v>201</v>
      </c>
      <c r="E25" s="50" t="s">
        <v>25</v>
      </c>
      <c r="F25" s="37" t="s">
        <v>16</v>
      </c>
      <c r="G25" s="35">
        <v>45536</v>
      </c>
      <c r="H25" s="45">
        <v>975.76260000000002</v>
      </c>
      <c r="I25" s="46">
        <f t="shared" si="2"/>
        <v>29664</v>
      </c>
      <c r="J25" s="47"/>
      <c r="K25" s="46">
        <f t="shared" si="3"/>
        <v>43909.317000000003</v>
      </c>
      <c r="L25" s="46">
        <f t="shared" si="4"/>
        <v>4878.8130000000001</v>
      </c>
      <c r="M25" s="46">
        <v>0</v>
      </c>
      <c r="N25" s="47"/>
      <c r="O25" s="46">
        <f t="shared" si="5"/>
        <v>4668</v>
      </c>
      <c r="P25" s="47"/>
      <c r="Q25" s="49">
        <f t="shared" si="6"/>
        <v>24996</v>
      </c>
      <c r="R25" s="96">
        <f t="shared" si="7"/>
        <v>12498</v>
      </c>
      <c r="S25" s="147"/>
    </row>
    <row r="26" spans="1:19" s="25" customFormat="1" ht="39.9" customHeight="1" x14ac:dyDescent="0.3">
      <c r="A26" s="117">
        <v>170</v>
      </c>
      <c r="B26" s="50" t="s">
        <v>105</v>
      </c>
      <c r="C26" s="101" t="s">
        <v>202</v>
      </c>
      <c r="D26" s="101" t="s">
        <v>203</v>
      </c>
      <c r="E26" s="50" t="s">
        <v>25</v>
      </c>
      <c r="F26" s="37" t="s">
        <v>16</v>
      </c>
      <c r="G26" s="35">
        <v>45536</v>
      </c>
      <c r="H26" s="45">
        <v>975.76260000000002</v>
      </c>
      <c r="I26" s="46">
        <f t="shared" si="2"/>
        <v>29664</v>
      </c>
      <c r="J26" s="47"/>
      <c r="K26" s="46">
        <f t="shared" si="3"/>
        <v>43909.317000000003</v>
      </c>
      <c r="L26" s="46">
        <f t="shared" si="4"/>
        <v>4878.8130000000001</v>
      </c>
      <c r="M26" s="46">
        <v>0</v>
      </c>
      <c r="N26" s="47"/>
      <c r="O26" s="46">
        <f t="shared" si="5"/>
        <v>4668</v>
      </c>
      <c r="P26" s="47"/>
      <c r="Q26" s="49">
        <f t="shared" si="6"/>
        <v>24996</v>
      </c>
      <c r="R26" s="96">
        <f t="shared" si="7"/>
        <v>12498</v>
      </c>
      <c r="S26" s="147"/>
    </row>
    <row r="27" spans="1:19" s="25" customFormat="1" ht="39.9" customHeight="1" thickBot="1" x14ac:dyDescent="0.35">
      <c r="A27" s="118">
        <v>171</v>
      </c>
      <c r="B27" s="50" t="s">
        <v>106</v>
      </c>
      <c r="C27" s="101" t="s">
        <v>204</v>
      </c>
      <c r="D27" s="101" t="s">
        <v>205</v>
      </c>
      <c r="E27" s="50" t="s">
        <v>25</v>
      </c>
      <c r="F27" s="37" t="s">
        <v>16</v>
      </c>
      <c r="G27" s="35">
        <v>45536</v>
      </c>
      <c r="H27" s="45">
        <v>975.76260000000002</v>
      </c>
      <c r="I27" s="46">
        <f t="shared" si="2"/>
        <v>29664</v>
      </c>
      <c r="J27" s="47"/>
      <c r="K27" s="46">
        <f t="shared" si="3"/>
        <v>43909.317000000003</v>
      </c>
      <c r="L27" s="46">
        <f t="shared" si="4"/>
        <v>4878.8130000000001</v>
      </c>
      <c r="M27" s="46">
        <v>0</v>
      </c>
      <c r="N27" s="47"/>
      <c r="O27" s="46">
        <f t="shared" si="5"/>
        <v>4668</v>
      </c>
      <c r="P27" s="47"/>
      <c r="Q27" s="49">
        <f t="shared" si="6"/>
        <v>24996</v>
      </c>
      <c r="R27" s="96">
        <f t="shared" si="7"/>
        <v>12498</v>
      </c>
      <c r="S27" s="147"/>
    </row>
    <row r="28" spans="1:19" s="25" customFormat="1" ht="39.9" customHeight="1" x14ac:dyDescent="0.3">
      <c r="A28" s="117">
        <v>172</v>
      </c>
      <c r="B28" s="50" t="s">
        <v>107</v>
      </c>
      <c r="C28" s="101" t="s">
        <v>206</v>
      </c>
      <c r="D28" s="101" t="s">
        <v>207</v>
      </c>
      <c r="E28" s="50" t="s">
        <v>25</v>
      </c>
      <c r="F28" s="37" t="s">
        <v>16</v>
      </c>
      <c r="G28" s="35">
        <v>45536</v>
      </c>
      <c r="H28" s="45">
        <v>975.76260000000002</v>
      </c>
      <c r="I28" s="46">
        <f t="shared" si="2"/>
        <v>29664</v>
      </c>
      <c r="J28" s="47"/>
      <c r="K28" s="46">
        <f t="shared" si="3"/>
        <v>43909.317000000003</v>
      </c>
      <c r="L28" s="46">
        <f t="shared" si="4"/>
        <v>4878.8130000000001</v>
      </c>
      <c r="M28" s="46">
        <v>0</v>
      </c>
      <c r="N28" s="47"/>
      <c r="O28" s="46">
        <f t="shared" si="5"/>
        <v>4668</v>
      </c>
      <c r="P28" s="47"/>
      <c r="Q28" s="49">
        <f t="shared" si="6"/>
        <v>24996</v>
      </c>
      <c r="R28" s="96">
        <f t="shared" si="7"/>
        <v>12498</v>
      </c>
      <c r="S28" s="147"/>
    </row>
    <row r="29" spans="1:19" s="25" customFormat="1" ht="39.9" customHeight="1" thickBot="1" x14ac:dyDescent="0.35">
      <c r="A29" s="170">
        <v>173</v>
      </c>
      <c r="B29" s="171" t="s">
        <v>108</v>
      </c>
      <c r="C29" s="172" t="s">
        <v>208</v>
      </c>
      <c r="D29" s="172" t="s">
        <v>209</v>
      </c>
      <c r="E29" s="171" t="s">
        <v>160</v>
      </c>
      <c r="F29" s="173" t="s">
        <v>17</v>
      </c>
      <c r="G29" s="174">
        <v>45536</v>
      </c>
      <c r="H29" s="92">
        <v>286.58</v>
      </c>
      <c r="I29" s="175">
        <v>8716.7800000000007</v>
      </c>
      <c r="J29" s="94"/>
      <c r="K29" s="93">
        <f>+H29*45</f>
        <v>12896.099999999999</v>
      </c>
      <c r="L29" s="93">
        <f>+H29*20*0.25</f>
        <v>1432.8999999999999</v>
      </c>
      <c r="M29" s="92">
        <v>0</v>
      </c>
      <c r="N29" s="94"/>
      <c r="O29" s="92">
        <f>120.39*2</f>
        <v>240.78</v>
      </c>
      <c r="P29" s="94"/>
      <c r="Q29" s="95">
        <f>+I29+M29-O29</f>
        <v>8476</v>
      </c>
      <c r="R29" s="97">
        <f>+Q29/2</f>
        <v>4238</v>
      </c>
      <c r="S29" s="147"/>
    </row>
    <row r="30" spans="1:19" ht="30" customHeight="1" thickBot="1" x14ac:dyDescent="0.35">
      <c r="A30" s="7"/>
      <c r="B30" s="56" t="s">
        <v>19</v>
      </c>
      <c r="C30" s="56"/>
      <c r="D30" s="56"/>
      <c r="E30" s="57"/>
      <c r="F30" s="4"/>
      <c r="G30" s="7"/>
      <c r="H30" s="4"/>
      <c r="I30" s="4"/>
      <c r="J30" s="4"/>
      <c r="K30" s="4"/>
      <c r="L30" s="4"/>
      <c r="M30" s="13"/>
      <c r="N30" s="13"/>
      <c r="O30" s="13"/>
      <c r="P30" s="13"/>
      <c r="Q30" s="13"/>
      <c r="R30" s="153"/>
      <c r="S30" s="38"/>
    </row>
    <row r="31" spans="1:19" ht="30" customHeight="1" thickBot="1" x14ac:dyDescent="0.35">
      <c r="A31" s="7"/>
      <c r="B31" s="56" t="s">
        <v>20</v>
      </c>
      <c r="C31" s="56"/>
      <c r="D31" s="56"/>
      <c r="E31" s="57"/>
      <c r="F31" s="243" t="s">
        <v>18</v>
      </c>
      <c r="G31" s="244"/>
      <c r="H31" s="276"/>
      <c r="I31" s="195">
        <f>+I22+I23+I24+I25+I26+I27+I28+I29</f>
        <v>216364.78</v>
      </c>
      <c r="J31" s="193">
        <f t="shared" ref="J31:R31" si="8">+J22+J23+J24+J25+J26+J27+J28+J29</f>
        <v>0</v>
      </c>
      <c r="K31" s="195">
        <f t="shared" si="8"/>
        <v>320261.31899999996</v>
      </c>
      <c r="L31" s="193">
        <f t="shared" si="8"/>
        <v>35584.591000000008</v>
      </c>
      <c r="M31" s="195">
        <f t="shared" si="8"/>
        <v>0</v>
      </c>
      <c r="N31" s="193">
        <f t="shared" si="8"/>
        <v>0</v>
      </c>
      <c r="O31" s="195">
        <f t="shared" si="8"/>
        <v>32916.78</v>
      </c>
      <c r="P31" s="193">
        <f t="shared" si="8"/>
        <v>0</v>
      </c>
      <c r="Q31" s="195">
        <f t="shared" si="8"/>
        <v>183448</v>
      </c>
      <c r="R31" s="194">
        <f t="shared" si="8"/>
        <v>91724</v>
      </c>
      <c r="S31" s="164"/>
    </row>
    <row r="32" spans="1:19" ht="30" customHeight="1" thickBot="1" x14ac:dyDescent="0.35">
      <c r="A32" s="9"/>
      <c r="B32" s="56" t="s">
        <v>21</v>
      </c>
      <c r="C32" s="56"/>
      <c r="D32" s="56"/>
      <c r="E32" s="56"/>
      <c r="F32" s="231" t="s">
        <v>484</v>
      </c>
      <c r="G32" s="232"/>
      <c r="H32" s="232"/>
      <c r="I32" s="217">
        <f>+I31*12</f>
        <v>2596377.36</v>
      </c>
      <c r="J32" s="215">
        <f t="shared" ref="J32:R32" si="9">+J31*12</f>
        <v>0</v>
      </c>
      <c r="K32" s="217">
        <f>+K31</f>
        <v>320261.31899999996</v>
      </c>
      <c r="L32" s="215">
        <f>+L31</f>
        <v>35584.591000000008</v>
      </c>
      <c r="M32" s="217">
        <f t="shared" si="9"/>
        <v>0</v>
      </c>
      <c r="N32" s="215">
        <f t="shared" si="9"/>
        <v>0</v>
      </c>
      <c r="O32" s="217">
        <f t="shared" si="9"/>
        <v>395001.36</v>
      </c>
      <c r="P32" s="215">
        <f t="shared" si="9"/>
        <v>0</v>
      </c>
      <c r="Q32" s="217">
        <f t="shared" si="9"/>
        <v>2201376</v>
      </c>
      <c r="R32" s="216">
        <f t="shared" si="9"/>
        <v>1100688</v>
      </c>
      <c r="S32" s="38"/>
    </row>
    <row r="33" spans="1:19" ht="30" customHeight="1" x14ac:dyDescent="0.3">
      <c r="A33" s="9"/>
      <c r="B33" s="56" t="s">
        <v>22</v>
      </c>
      <c r="C33" s="56"/>
      <c r="D33" s="56"/>
      <c r="E33" s="56"/>
      <c r="F33" s="59"/>
      <c r="G33" s="10"/>
      <c r="H33" s="65"/>
      <c r="I33" s="60"/>
      <c r="J33" s="60"/>
      <c r="K33" s="60"/>
      <c r="L33" s="60"/>
      <c r="M33" s="60"/>
      <c r="N33" s="60"/>
      <c r="O33" s="60"/>
      <c r="P33" s="60"/>
      <c r="Q33" s="60"/>
      <c r="R33" s="153"/>
      <c r="S33" s="38"/>
    </row>
    <row r="34" spans="1:19" ht="30" customHeight="1" x14ac:dyDescent="0.3">
      <c r="A34" s="9"/>
      <c r="B34" s="56" t="s">
        <v>23</v>
      </c>
      <c r="C34" s="56"/>
      <c r="D34" s="56"/>
      <c r="E34" s="56"/>
      <c r="F34" s="59"/>
      <c r="G34" s="10"/>
      <c r="H34" s="59"/>
      <c r="I34" s="60"/>
      <c r="J34" s="60"/>
      <c r="K34" s="60"/>
      <c r="L34" s="60"/>
      <c r="M34" s="60"/>
      <c r="N34" s="60"/>
      <c r="O34" s="60"/>
      <c r="P34" s="60"/>
      <c r="Q34" s="60"/>
      <c r="R34" s="153"/>
      <c r="S34" s="38"/>
    </row>
    <row r="35" spans="1:19" ht="30" customHeight="1" x14ac:dyDescent="0.3">
      <c r="A35" s="9"/>
      <c r="B35" s="56"/>
      <c r="C35" s="56"/>
      <c r="D35" s="56"/>
      <c r="E35" s="56"/>
      <c r="F35" s="59"/>
      <c r="G35" s="10"/>
      <c r="H35" s="59"/>
      <c r="I35" s="60"/>
      <c r="J35" s="60"/>
      <c r="K35" s="60"/>
      <c r="L35" s="60"/>
      <c r="M35" s="60"/>
      <c r="N35" s="60"/>
      <c r="O35" s="60"/>
      <c r="P35" s="60"/>
      <c r="Q35" s="60"/>
      <c r="R35" s="153"/>
      <c r="S35" s="38"/>
    </row>
    <row r="36" spans="1:19" ht="30" customHeight="1" x14ac:dyDescent="0.3">
      <c r="A36" s="9"/>
      <c r="B36" s="56"/>
      <c r="C36" s="56"/>
      <c r="D36" s="56"/>
      <c r="E36" s="56"/>
      <c r="F36" s="59"/>
      <c r="G36" s="10"/>
      <c r="H36" s="59"/>
      <c r="I36" s="60"/>
      <c r="J36" s="60"/>
      <c r="K36" s="60"/>
      <c r="L36" s="60"/>
      <c r="M36" s="60"/>
      <c r="N36" s="60"/>
      <c r="O36" s="60"/>
      <c r="P36" s="60"/>
      <c r="Q36" s="60"/>
      <c r="R36" s="153"/>
      <c r="S36" s="38"/>
    </row>
    <row r="37" spans="1:19" s="12" customFormat="1" ht="30" customHeight="1" x14ac:dyDescent="0.3">
      <c r="A37" s="256" t="s">
        <v>32</v>
      </c>
      <c r="B37" s="256"/>
      <c r="C37" s="256"/>
      <c r="D37" s="256"/>
      <c r="E37" s="256"/>
      <c r="F37" s="256"/>
      <c r="G37" s="256"/>
      <c r="H37" s="256"/>
      <c r="I37" s="256"/>
      <c r="J37" s="256"/>
      <c r="K37" s="256"/>
      <c r="L37" s="256"/>
      <c r="M37" s="256"/>
      <c r="N37" s="256"/>
      <c r="O37" s="256"/>
      <c r="P37" s="256"/>
      <c r="Q37" s="256"/>
      <c r="R37" s="153"/>
      <c r="S37" s="38"/>
    </row>
    <row r="38" spans="1:19" s="12" customFormat="1" ht="30" customHeight="1" x14ac:dyDescent="0.3">
      <c r="A38" s="235" t="s">
        <v>0</v>
      </c>
      <c r="B38" s="235"/>
      <c r="C38" s="235"/>
      <c r="D38" s="235"/>
      <c r="E38" s="235"/>
      <c r="F38" s="235"/>
      <c r="G38" s="235"/>
      <c r="H38" s="235"/>
      <c r="I38" s="235"/>
      <c r="J38" s="235"/>
      <c r="K38" s="235"/>
      <c r="L38" s="235"/>
      <c r="M38" s="235"/>
      <c r="N38" s="235"/>
      <c r="O38" s="235"/>
      <c r="P38" s="235"/>
      <c r="Q38" s="235"/>
      <c r="R38" s="153"/>
      <c r="S38" s="38"/>
    </row>
    <row r="39" spans="1:19" s="12" customFormat="1" ht="30" customHeight="1" thickBot="1" x14ac:dyDescent="0.35">
      <c r="A39" s="235" t="s">
        <v>210</v>
      </c>
      <c r="B39" s="235"/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5"/>
      <c r="P39" s="235"/>
      <c r="Q39" s="235"/>
      <c r="R39" s="153"/>
      <c r="S39" s="38"/>
    </row>
    <row r="40" spans="1:19" s="5" customFormat="1" ht="24.75" customHeight="1" x14ac:dyDescent="0.3">
      <c r="A40" s="115"/>
      <c r="B40" s="305" t="s">
        <v>70</v>
      </c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161"/>
    </row>
    <row r="41" spans="1:19" s="5" customFormat="1" ht="24.9" customHeight="1" thickBot="1" x14ac:dyDescent="0.35">
      <c r="A41" s="116"/>
      <c r="B41" s="307"/>
      <c r="C41" s="308"/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8"/>
      <c r="P41" s="308"/>
      <c r="Q41" s="308"/>
      <c r="R41" s="308"/>
      <c r="S41" s="161"/>
    </row>
    <row r="42" spans="1:19" s="5" customFormat="1" ht="24.9" customHeight="1" x14ac:dyDescent="0.3">
      <c r="A42" s="236"/>
      <c r="B42" s="258" t="s">
        <v>2</v>
      </c>
      <c r="C42" s="245" t="s">
        <v>188</v>
      </c>
      <c r="D42" s="245" t="s">
        <v>189</v>
      </c>
      <c r="E42" s="258" t="s">
        <v>3</v>
      </c>
      <c r="F42" s="261" t="s">
        <v>4</v>
      </c>
      <c r="G42" s="263" t="s">
        <v>5</v>
      </c>
      <c r="H42" s="261" t="s">
        <v>6</v>
      </c>
      <c r="I42" s="261" t="s">
        <v>7</v>
      </c>
      <c r="J42" s="261" t="s">
        <v>8</v>
      </c>
      <c r="K42" s="261" t="s">
        <v>9</v>
      </c>
      <c r="L42" s="261" t="s">
        <v>10</v>
      </c>
      <c r="M42" s="261" t="s">
        <v>11</v>
      </c>
      <c r="N42" s="261" t="s">
        <v>12</v>
      </c>
      <c r="O42" s="261" t="s">
        <v>13</v>
      </c>
      <c r="P42" s="261" t="s">
        <v>14</v>
      </c>
      <c r="Q42" s="266" t="s">
        <v>15</v>
      </c>
      <c r="R42" s="302" t="s">
        <v>149</v>
      </c>
      <c r="S42" s="162"/>
    </row>
    <row r="43" spans="1:19" s="5" customFormat="1" ht="24.9" customHeight="1" thickBot="1" x14ac:dyDescent="0.35">
      <c r="A43" s="237"/>
      <c r="B43" s="271"/>
      <c r="C43" s="246"/>
      <c r="D43" s="246"/>
      <c r="E43" s="249"/>
      <c r="F43" s="239"/>
      <c r="G43" s="272"/>
      <c r="H43" s="239"/>
      <c r="I43" s="239"/>
      <c r="J43" s="239"/>
      <c r="K43" s="239"/>
      <c r="L43" s="239"/>
      <c r="M43" s="239"/>
      <c r="N43" s="240"/>
      <c r="O43" s="240"/>
      <c r="P43" s="239"/>
      <c r="Q43" s="242"/>
      <c r="R43" s="302"/>
      <c r="S43" s="162"/>
    </row>
    <row r="44" spans="1:19" s="163" customFormat="1" ht="39.9" customHeight="1" x14ac:dyDescent="0.3">
      <c r="A44" s="176">
        <v>1</v>
      </c>
      <c r="B44" s="177" t="s">
        <v>33</v>
      </c>
      <c r="C44" s="101" t="s">
        <v>211</v>
      </c>
      <c r="D44" s="101" t="s">
        <v>212</v>
      </c>
      <c r="E44" s="177" t="s">
        <v>160</v>
      </c>
      <c r="F44" s="178" t="s">
        <v>35</v>
      </c>
      <c r="G44" s="179">
        <v>32874</v>
      </c>
      <c r="H44" s="61">
        <v>286.58</v>
      </c>
      <c r="I44" s="53">
        <v>8716.7800000000007</v>
      </c>
      <c r="J44" s="62"/>
      <c r="K44" s="63">
        <f>+H44*65</f>
        <v>18627.7</v>
      </c>
      <c r="L44" s="63">
        <f>+H44*26*0.42</f>
        <v>3129.4535999999998</v>
      </c>
      <c r="M44" s="61">
        <v>0</v>
      </c>
      <c r="N44" s="62"/>
      <c r="O44" s="61">
        <f>120.39*2</f>
        <v>240.78</v>
      </c>
      <c r="P44" s="62"/>
      <c r="Q44" s="180">
        <f>+I44+M44-O44</f>
        <v>8476</v>
      </c>
      <c r="R44" s="104">
        <f>+Q44/2</f>
        <v>4238</v>
      </c>
      <c r="S44" s="147"/>
    </row>
    <row r="45" spans="1:19" s="25" customFormat="1" ht="39.9" customHeight="1" x14ac:dyDescent="0.3">
      <c r="A45" s="30">
        <v>175</v>
      </c>
      <c r="B45" s="66" t="s">
        <v>151</v>
      </c>
      <c r="C45" s="101" t="s">
        <v>213</v>
      </c>
      <c r="D45" s="101" t="s">
        <v>214</v>
      </c>
      <c r="E45" s="44" t="s">
        <v>182</v>
      </c>
      <c r="F45" s="36" t="s">
        <v>17</v>
      </c>
      <c r="G45" s="35">
        <v>45536</v>
      </c>
      <c r="H45" s="61">
        <v>286.58</v>
      </c>
      <c r="I45" s="53">
        <v>8716.7800000000007</v>
      </c>
      <c r="J45" s="62"/>
      <c r="K45" s="63">
        <f>+H45*45</f>
        <v>12896.099999999999</v>
      </c>
      <c r="L45" s="63">
        <f>+H45*20*0.25</f>
        <v>1432.8999999999999</v>
      </c>
      <c r="M45" s="61">
        <v>0</v>
      </c>
      <c r="N45" s="62"/>
      <c r="O45" s="61">
        <f>120.39*2</f>
        <v>240.78</v>
      </c>
      <c r="P45" s="62"/>
      <c r="Q45" s="64">
        <f>+I45+M45-O45</f>
        <v>8476</v>
      </c>
      <c r="R45" s="104">
        <f>+Q45/2</f>
        <v>4238</v>
      </c>
      <c r="S45" s="147"/>
    </row>
    <row r="46" spans="1:19" s="25" customFormat="1" ht="39.9" customHeight="1" x14ac:dyDescent="0.3">
      <c r="A46" s="109">
        <v>176</v>
      </c>
      <c r="B46" s="50" t="s">
        <v>124</v>
      </c>
      <c r="C46" s="101" t="s">
        <v>215</v>
      </c>
      <c r="D46" s="101" t="s">
        <v>216</v>
      </c>
      <c r="E46" s="50" t="s">
        <v>34</v>
      </c>
      <c r="F46" s="37" t="s">
        <v>16</v>
      </c>
      <c r="G46" s="35">
        <v>45536</v>
      </c>
      <c r="H46" s="51">
        <v>556.02269999999999</v>
      </c>
      <c r="I46" s="53">
        <f>8452*2</f>
        <v>16904</v>
      </c>
      <c r="J46" s="52"/>
      <c r="K46" s="53">
        <f>+H46*45</f>
        <v>25021.021499999999</v>
      </c>
      <c r="L46" s="53">
        <f>+H46*20*0.25</f>
        <v>2780.1134999999999</v>
      </c>
      <c r="M46" s="53">
        <v>0</v>
      </c>
      <c r="N46" s="54"/>
      <c r="O46" s="51">
        <f>971*2</f>
        <v>1942</v>
      </c>
      <c r="P46" s="52"/>
      <c r="Q46" s="55">
        <f>+I46+M46-O46</f>
        <v>14962</v>
      </c>
      <c r="R46" s="104">
        <f>+Q46/2</f>
        <v>7481</v>
      </c>
      <c r="S46" s="147"/>
    </row>
    <row r="47" spans="1:19" s="6" customFormat="1" ht="30" customHeight="1" thickBot="1" x14ac:dyDescent="0.35">
      <c r="A47" s="7"/>
      <c r="B47" s="56" t="s">
        <v>19</v>
      </c>
      <c r="C47" s="56"/>
      <c r="D47" s="56"/>
      <c r="E47" s="56"/>
      <c r="F47" s="4"/>
      <c r="G47" s="7"/>
      <c r="H47" s="4"/>
      <c r="I47" s="4"/>
      <c r="J47" s="4"/>
      <c r="K47" s="4"/>
      <c r="L47" s="4"/>
      <c r="M47" s="13"/>
      <c r="N47" s="13"/>
      <c r="O47" s="13"/>
      <c r="P47" s="13"/>
      <c r="Q47" s="13"/>
      <c r="R47" s="153"/>
      <c r="S47" s="38"/>
    </row>
    <row r="48" spans="1:19" s="6" customFormat="1" ht="30" customHeight="1" thickBot="1" x14ac:dyDescent="0.35">
      <c r="A48" s="7"/>
      <c r="B48" s="56" t="s">
        <v>20</v>
      </c>
      <c r="C48" s="56"/>
      <c r="D48" s="56"/>
      <c r="E48" s="56"/>
      <c r="F48" s="243" t="s">
        <v>18</v>
      </c>
      <c r="G48" s="244"/>
      <c r="H48" s="276"/>
      <c r="I48" s="195">
        <f>+I44+I45+I46</f>
        <v>34337.56</v>
      </c>
      <c r="J48" s="193">
        <f t="shared" ref="J48:R48" si="10">+J44+J45+J46</f>
        <v>0</v>
      </c>
      <c r="K48" s="195">
        <f t="shared" si="10"/>
        <v>56544.821499999998</v>
      </c>
      <c r="L48" s="193">
        <f t="shared" si="10"/>
        <v>7342.4670999999998</v>
      </c>
      <c r="M48" s="195">
        <f t="shared" si="10"/>
        <v>0</v>
      </c>
      <c r="N48" s="193">
        <f t="shared" si="10"/>
        <v>0</v>
      </c>
      <c r="O48" s="195">
        <f t="shared" si="10"/>
        <v>2423.56</v>
      </c>
      <c r="P48" s="193">
        <f t="shared" si="10"/>
        <v>0</v>
      </c>
      <c r="Q48" s="195">
        <f t="shared" si="10"/>
        <v>31914</v>
      </c>
      <c r="R48" s="194">
        <f t="shared" si="10"/>
        <v>15957</v>
      </c>
      <c r="S48" s="164"/>
    </row>
    <row r="49" spans="1:19" s="6" customFormat="1" ht="30" customHeight="1" thickBot="1" x14ac:dyDescent="0.35">
      <c r="A49" s="7"/>
      <c r="B49" s="56" t="s">
        <v>21</v>
      </c>
      <c r="C49" s="56"/>
      <c r="D49" s="56"/>
      <c r="E49" s="56"/>
      <c r="F49" s="233" t="s">
        <v>484</v>
      </c>
      <c r="G49" s="234"/>
      <c r="H49" s="234"/>
      <c r="I49" s="229">
        <f>+I48*12</f>
        <v>412050.72</v>
      </c>
      <c r="J49" s="227">
        <f t="shared" ref="J49:R49" si="11">+J48*12</f>
        <v>0</v>
      </c>
      <c r="K49" s="229">
        <f>+K48</f>
        <v>56544.821499999998</v>
      </c>
      <c r="L49" s="227">
        <f>+L48</f>
        <v>7342.4670999999998</v>
      </c>
      <c r="M49" s="229">
        <f t="shared" si="11"/>
        <v>0</v>
      </c>
      <c r="N49" s="227">
        <f t="shared" si="11"/>
        <v>0</v>
      </c>
      <c r="O49" s="229">
        <f t="shared" si="11"/>
        <v>29082.720000000001</v>
      </c>
      <c r="P49" s="227">
        <f t="shared" si="11"/>
        <v>0</v>
      </c>
      <c r="Q49" s="229">
        <f t="shared" si="11"/>
        <v>382968</v>
      </c>
      <c r="R49" s="228">
        <f t="shared" si="11"/>
        <v>191484</v>
      </c>
      <c r="S49" s="38"/>
    </row>
    <row r="50" spans="1:19" s="6" customFormat="1" ht="30" customHeight="1" x14ac:dyDescent="0.3">
      <c r="A50" s="7"/>
      <c r="B50" s="56" t="s">
        <v>22</v>
      </c>
      <c r="C50" s="56"/>
      <c r="D50" s="56"/>
      <c r="E50" s="56"/>
      <c r="F50" s="67"/>
      <c r="G50" s="111"/>
      <c r="H50" s="67"/>
      <c r="I50" s="13"/>
      <c r="J50" s="13"/>
      <c r="K50" s="13"/>
      <c r="L50" s="13"/>
      <c r="M50" s="13"/>
      <c r="N50" s="13"/>
      <c r="O50" s="13"/>
      <c r="P50" s="13"/>
      <c r="Q50" s="13"/>
      <c r="R50" s="153"/>
      <c r="S50" s="38"/>
    </row>
    <row r="51" spans="1:19" s="6" customFormat="1" ht="30" customHeight="1" x14ac:dyDescent="0.3">
      <c r="A51" s="7"/>
      <c r="B51" s="56" t="s">
        <v>23</v>
      </c>
      <c r="C51" s="56"/>
      <c r="D51" s="56"/>
      <c r="E51" s="56"/>
      <c r="F51" s="67"/>
      <c r="G51" s="111"/>
      <c r="H51" s="67"/>
      <c r="I51" s="13"/>
      <c r="J51" s="13"/>
      <c r="K51" s="13"/>
      <c r="L51" s="13"/>
      <c r="M51" s="13"/>
      <c r="N51" s="13"/>
      <c r="O51" s="13"/>
      <c r="P51" s="13"/>
      <c r="Q51" s="13"/>
      <c r="R51" s="153"/>
      <c r="S51" s="38"/>
    </row>
    <row r="52" spans="1:19" s="6" customFormat="1" ht="30" customHeight="1" x14ac:dyDescent="0.3">
      <c r="A52" s="7"/>
      <c r="B52" s="56"/>
      <c r="C52" s="56"/>
      <c r="D52" s="56"/>
      <c r="E52" s="56"/>
      <c r="F52" s="67"/>
      <c r="G52" s="111"/>
      <c r="H52" s="67"/>
      <c r="I52" s="13"/>
      <c r="J52" s="13"/>
      <c r="K52" s="13"/>
      <c r="L52" s="13"/>
      <c r="M52" s="13"/>
      <c r="N52" s="13"/>
      <c r="O52" s="13"/>
      <c r="P52" s="13"/>
      <c r="Q52" s="13"/>
      <c r="R52" s="153"/>
      <c r="S52" s="38"/>
    </row>
    <row r="53" spans="1:19" s="12" customFormat="1" ht="30" customHeight="1" x14ac:dyDescent="0.3">
      <c r="A53" s="256" t="s">
        <v>32</v>
      </c>
      <c r="B53" s="256"/>
      <c r="C53" s="256"/>
      <c r="D53" s="256"/>
      <c r="E53" s="256"/>
      <c r="F53" s="256"/>
      <c r="G53" s="256"/>
      <c r="H53" s="256"/>
      <c r="I53" s="256"/>
      <c r="J53" s="256"/>
      <c r="K53" s="256"/>
      <c r="L53" s="256"/>
      <c r="M53" s="256"/>
      <c r="N53" s="256"/>
      <c r="O53" s="256"/>
      <c r="P53" s="256"/>
      <c r="Q53" s="256"/>
      <c r="R53" s="153"/>
      <c r="S53" s="38"/>
    </row>
    <row r="54" spans="1:19" s="12" customFormat="1" ht="30" customHeight="1" x14ac:dyDescent="0.3">
      <c r="A54" s="235" t="s">
        <v>0</v>
      </c>
      <c r="B54" s="235"/>
      <c r="C54" s="235"/>
      <c r="D54" s="235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153"/>
      <c r="S54" s="38"/>
    </row>
    <row r="55" spans="1:19" s="12" customFormat="1" ht="30" customHeight="1" thickBot="1" x14ac:dyDescent="0.35">
      <c r="A55" s="235" t="s">
        <v>210</v>
      </c>
      <c r="B55" s="235"/>
      <c r="C55" s="235"/>
      <c r="D55" s="235"/>
      <c r="E55" s="235"/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153"/>
      <c r="S55" s="38"/>
    </row>
    <row r="56" spans="1:19" s="5" customFormat="1" ht="24.9" customHeight="1" x14ac:dyDescent="0.3">
      <c r="A56" s="119"/>
      <c r="B56" s="305" t="s">
        <v>71</v>
      </c>
      <c r="C56" s="306"/>
      <c r="D56" s="306"/>
      <c r="E56" s="306"/>
      <c r="F56" s="306"/>
      <c r="G56" s="306"/>
      <c r="H56" s="306"/>
      <c r="I56" s="306"/>
      <c r="J56" s="306"/>
      <c r="K56" s="306"/>
      <c r="L56" s="306"/>
      <c r="M56" s="306"/>
      <c r="N56" s="306"/>
      <c r="O56" s="306"/>
      <c r="P56" s="306"/>
      <c r="Q56" s="306"/>
      <c r="R56" s="309"/>
      <c r="S56" s="161"/>
    </row>
    <row r="57" spans="1:19" s="5" customFormat="1" ht="24.9" customHeight="1" thickBot="1" x14ac:dyDescent="0.35">
      <c r="A57" s="120"/>
      <c r="B57" s="307"/>
      <c r="C57" s="308"/>
      <c r="D57" s="308"/>
      <c r="E57" s="308"/>
      <c r="F57" s="308"/>
      <c r="G57" s="308"/>
      <c r="H57" s="308"/>
      <c r="I57" s="308"/>
      <c r="J57" s="308"/>
      <c r="K57" s="308"/>
      <c r="L57" s="308"/>
      <c r="M57" s="308"/>
      <c r="N57" s="308"/>
      <c r="O57" s="308"/>
      <c r="P57" s="308"/>
      <c r="Q57" s="308"/>
      <c r="R57" s="310"/>
      <c r="S57" s="161"/>
    </row>
    <row r="58" spans="1:19" s="5" customFormat="1" ht="24.9" customHeight="1" x14ac:dyDescent="0.3">
      <c r="A58" s="311"/>
      <c r="B58" s="258" t="s">
        <v>2</v>
      </c>
      <c r="C58" s="245" t="s">
        <v>188</v>
      </c>
      <c r="D58" s="245" t="s">
        <v>189</v>
      </c>
      <c r="E58" s="258" t="s">
        <v>3</v>
      </c>
      <c r="F58" s="261" t="s">
        <v>4</v>
      </c>
      <c r="G58" s="263" t="s">
        <v>5</v>
      </c>
      <c r="H58" s="261" t="s">
        <v>6</v>
      </c>
      <c r="I58" s="261" t="s">
        <v>7</v>
      </c>
      <c r="J58" s="261" t="s">
        <v>8</v>
      </c>
      <c r="K58" s="261" t="s">
        <v>9</v>
      </c>
      <c r="L58" s="261" t="s">
        <v>10</v>
      </c>
      <c r="M58" s="261" t="s">
        <v>11</v>
      </c>
      <c r="N58" s="261" t="s">
        <v>12</v>
      </c>
      <c r="O58" s="261" t="s">
        <v>13</v>
      </c>
      <c r="P58" s="261" t="s">
        <v>14</v>
      </c>
      <c r="Q58" s="266" t="s">
        <v>15</v>
      </c>
      <c r="R58" s="302" t="s">
        <v>149</v>
      </c>
      <c r="S58" s="162"/>
    </row>
    <row r="59" spans="1:19" s="5" customFormat="1" ht="24.9" customHeight="1" thickBot="1" x14ac:dyDescent="0.35">
      <c r="A59" s="312"/>
      <c r="B59" s="271"/>
      <c r="C59" s="246"/>
      <c r="D59" s="246"/>
      <c r="E59" s="249"/>
      <c r="F59" s="239"/>
      <c r="G59" s="272"/>
      <c r="H59" s="239"/>
      <c r="I59" s="239"/>
      <c r="J59" s="239"/>
      <c r="K59" s="239"/>
      <c r="L59" s="239"/>
      <c r="M59" s="239"/>
      <c r="N59" s="240"/>
      <c r="O59" s="240"/>
      <c r="P59" s="239"/>
      <c r="Q59" s="242"/>
      <c r="R59" s="302"/>
      <c r="S59" s="162"/>
    </row>
    <row r="60" spans="1:19" s="25" customFormat="1" ht="39.9" customHeight="1" x14ac:dyDescent="0.3">
      <c r="A60" s="109">
        <v>177</v>
      </c>
      <c r="B60" s="50" t="s">
        <v>121</v>
      </c>
      <c r="C60" s="101" t="s">
        <v>217</v>
      </c>
      <c r="D60" s="101" t="s">
        <v>218</v>
      </c>
      <c r="E60" s="50" t="s">
        <v>86</v>
      </c>
      <c r="F60" s="37" t="s">
        <v>16</v>
      </c>
      <c r="G60" s="35">
        <v>45536</v>
      </c>
      <c r="H60" s="51">
        <v>991.4085</v>
      </c>
      <c r="I60" s="63">
        <f>15069*2</f>
        <v>30138</v>
      </c>
      <c r="J60" s="52"/>
      <c r="K60" s="63">
        <f t="shared" ref="K60:K65" si="12">+H60*45</f>
        <v>44613.3825</v>
      </c>
      <c r="L60" s="63">
        <f t="shared" ref="L60:L65" si="13">+H60*20*0.25</f>
        <v>4957.0424999999996</v>
      </c>
      <c r="M60" s="53">
        <v>0</v>
      </c>
      <c r="N60" s="52"/>
      <c r="O60" s="51">
        <f>2385*2</f>
        <v>4770</v>
      </c>
      <c r="P60" s="52"/>
      <c r="Q60" s="55">
        <f>+I60-O60</f>
        <v>25368</v>
      </c>
      <c r="R60" s="104">
        <f t="shared" ref="R60:R65" si="14">+Q60/2</f>
        <v>12684</v>
      </c>
      <c r="S60" s="147"/>
    </row>
    <row r="61" spans="1:19" s="25" customFormat="1" ht="39.9" customHeight="1" x14ac:dyDescent="0.3">
      <c r="A61" s="30">
        <v>26</v>
      </c>
      <c r="B61" s="44" t="s">
        <v>36</v>
      </c>
      <c r="C61" s="101" t="s">
        <v>223</v>
      </c>
      <c r="D61" s="101" t="s">
        <v>224</v>
      </c>
      <c r="E61" s="44" t="s">
        <v>37</v>
      </c>
      <c r="F61" s="36" t="s">
        <v>17</v>
      </c>
      <c r="G61" s="31">
        <v>45536</v>
      </c>
      <c r="H61" s="51">
        <v>435.42160000000001</v>
      </c>
      <c r="I61" s="63">
        <f>6618*2</f>
        <v>13236</v>
      </c>
      <c r="J61" s="52"/>
      <c r="K61" s="63">
        <f t="shared" si="12"/>
        <v>19593.972000000002</v>
      </c>
      <c r="L61" s="63">
        <f t="shared" si="13"/>
        <v>2177.1080000000002</v>
      </c>
      <c r="M61" s="53">
        <v>0</v>
      </c>
      <c r="N61" s="52"/>
      <c r="O61" s="51">
        <f>618*2</f>
        <v>1236</v>
      </c>
      <c r="P61" s="52"/>
      <c r="Q61" s="55">
        <f>+I61-O61</f>
        <v>12000</v>
      </c>
      <c r="R61" s="104">
        <f t="shared" si="14"/>
        <v>6000</v>
      </c>
      <c r="S61" s="147"/>
    </row>
    <row r="62" spans="1:19" s="25" customFormat="1" ht="39.9" customHeight="1" x14ac:dyDescent="0.3">
      <c r="A62" s="109">
        <v>178</v>
      </c>
      <c r="B62" s="50" t="s">
        <v>122</v>
      </c>
      <c r="C62" s="101" t="s">
        <v>219</v>
      </c>
      <c r="D62" s="101" t="s">
        <v>220</v>
      </c>
      <c r="E62" s="50" t="s">
        <v>38</v>
      </c>
      <c r="F62" s="37" t="s">
        <v>17</v>
      </c>
      <c r="G62" s="35">
        <v>45536</v>
      </c>
      <c r="H62" s="51">
        <v>595.60149999999999</v>
      </c>
      <c r="I62" s="63">
        <f>9053*2</f>
        <v>18106</v>
      </c>
      <c r="J62" s="52"/>
      <c r="K62" s="63">
        <f t="shared" si="12"/>
        <v>26802.067500000001</v>
      </c>
      <c r="L62" s="63">
        <f t="shared" si="13"/>
        <v>2978.0074999999997</v>
      </c>
      <c r="M62" s="53">
        <v>0</v>
      </c>
      <c r="N62" s="52"/>
      <c r="O62" s="51">
        <f>1100*2</f>
        <v>2200</v>
      </c>
      <c r="P62" s="52"/>
      <c r="Q62" s="55">
        <f>+I62-O62</f>
        <v>15906</v>
      </c>
      <c r="R62" s="104">
        <f t="shared" si="14"/>
        <v>7953</v>
      </c>
      <c r="S62" s="147"/>
    </row>
    <row r="63" spans="1:19" s="25" customFormat="1" ht="39.9" customHeight="1" x14ac:dyDescent="0.3">
      <c r="A63" s="103">
        <v>113</v>
      </c>
      <c r="B63" s="105" t="s">
        <v>225</v>
      </c>
      <c r="C63" s="103" t="s">
        <v>226</v>
      </c>
      <c r="D63" s="103" t="s">
        <v>227</v>
      </c>
      <c r="E63" s="106" t="s">
        <v>228</v>
      </c>
      <c r="F63" s="107" t="s">
        <v>17</v>
      </c>
      <c r="G63" s="112">
        <v>44501</v>
      </c>
      <c r="H63" s="51">
        <v>515.86860000000001</v>
      </c>
      <c r="I63" s="63">
        <f>7841*2</f>
        <v>15682</v>
      </c>
      <c r="J63" s="52"/>
      <c r="K63" s="63">
        <f t="shared" si="12"/>
        <v>23214.087</v>
      </c>
      <c r="L63" s="63">
        <f t="shared" si="13"/>
        <v>2579.3429999999998</v>
      </c>
      <c r="M63" s="53">
        <v>0</v>
      </c>
      <c r="N63" s="52"/>
      <c r="O63" s="51">
        <f>841*2</f>
        <v>1682</v>
      </c>
      <c r="P63" s="52"/>
      <c r="Q63" s="55">
        <f>+I63-O63</f>
        <v>14000</v>
      </c>
      <c r="R63" s="104">
        <f t="shared" si="14"/>
        <v>7000</v>
      </c>
      <c r="S63" s="147"/>
    </row>
    <row r="64" spans="1:19" s="25" customFormat="1" ht="39.9" customHeight="1" x14ac:dyDescent="0.3">
      <c r="A64" s="109">
        <v>179</v>
      </c>
      <c r="B64" s="50" t="s">
        <v>123</v>
      </c>
      <c r="C64" s="101" t="s">
        <v>221</v>
      </c>
      <c r="D64" s="101" t="s">
        <v>222</v>
      </c>
      <c r="E64" s="50" t="s">
        <v>39</v>
      </c>
      <c r="F64" s="37" t="s">
        <v>17</v>
      </c>
      <c r="G64" s="35">
        <v>45536</v>
      </c>
      <c r="H64" s="51">
        <v>435.42160000000001</v>
      </c>
      <c r="I64" s="63">
        <f>6618*2</f>
        <v>13236</v>
      </c>
      <c r="J64" s="52"/>
      <c r="K64" s="63">
        <f t="shared" si="12"/>
        <v>19593.972000000002</v>
      </c>
      <c r="L64" s="63">
        <f t="shared" si="13"/>
        <v>2177.1080000000002</v>
      </c>
      <c r="M64" s="53">
        <v>0</v>
      </c>
      <c r="N64" s="52"/>
      <c r="O64" s="51">
        <f>618*2</f>
        <v>1236</v>
      </c>
      <c r="P64" s="52"/>
      <c r="Q64" s="55">
        <f>+I64-O64</f>
        <v>12000</v>
      </c>
      <c r="R64" s="104">
        <f t="shared" si="14"/>
        <v>6000</v>
      </c>
      <c r="S64" s="147"/>
    </row>
    <row r="65" spans="1:19" s="25" customFormat="1" ht="39.9" customHeight="1" x14ac:dyDescent="0.3">
      <c r="A65" s="109"/>
      <c r="B65" s="50" t="s">
        <v>187</v>
      </c>
      <c r="C65" s="101"/>
      <c r="D65" s="101"/>
      <c r="E65" s="50" t="s">
        <v>161</v>
      </c>
      <c r="F65" s="37" t="s">
        <v>17</v>
      </c>
      <c r="G65" s="35"/>
      <c r="H65" s="61">
        <v>286.58</v>
      </c>
      <c r="I65" s="53">
        <v>8716.7800000000007</v>
      </c>
      <c r="J65" s="62"/>
      <c r="K65" s="63">
        <f t="shared" si="12"/>
        <v>12896.099999999999</v>
      </c>
      <c r="L65" s="63">
        <f t="shared" si="13"/>
        <v>1432.8999999999999</v>
      </c>
      <c r="M65" s="61">
        <v>0</v>
      </c>
      <c r="N65" s="62"/>
      <c r="O65" s="61">
        <f>120.39*2</f>
        <v>240.78</v>
      </c>
      <c r="P65" s="62"/>
      <c r="Q65" s="64">
        <f>+I65+M65-O65</f>
        <v>8476</v>
      </c>
      <c r="R65" s="104">
        <f t="shared" si="14"/>
        <v>4238</v>
      </c>
      <c r="S65" s="147"/>
    </row>
    <row r="66" spans="1:19" s="6" customFormat="1" ht="30" customHeight="1" thickBot="1" x14ac:dyDescent="0.35">
      <c r="A66" s="7"/>
      <c r="B66" s="56" t="s">
        <v>19</v>
      </c>
      <c r="C66" s="56"/>
      <c r="D66" s="56"/>
      <c r="E66" s="57"/>
      <c r="F66" s="4"/>
      <c r="G66" s="7"/>
      <c r="H66" s="4"/>
      <c r="I66" s="4"/>
      <c r="J66" s="4"/>
      <c r="K66" s="4"/>
      <c r="L66" s="4"/>
      <c r="M66" s="13"/>
      <c r="N66" s="13"/>
      <c r="O66" s="13"/>
      <c r="P66" s="13"/>
      <c r="Q66" s="13"/>
      <c r="R66" s="153"/>
      <c r="S66" s="38"/>
    </row>
    <row r="67" spans="1:19" s="6" customFormat="1" ht="30" customHeight="1" thickBot="1" x14ac:dyDescent="0.35">
      <c r="A67" s="7"/>
      <c r="B67" s="56" t="s">
        <v>20</v>
      </c>
      <c r="C67" s="56"/>
      <c r="D67" s="56"/>
      <c r="E67" s="57"/>
      <c r="F67" s="243" t="s">
        <v>18</v>
      </c>
      <c r="G67" s="244"/>
      <c r="H67" s="276"/>
      <c r="I67" s="152">
        <f t="shared" ref="I67:Q67" si="15">SUM(I60:I65)</f>
        <v>99114.78</v>
      </c>
      <c r="J67" s="226">
        <f t="shared" si="15"/>
        <v>0</v>
      </c>
      <c r="K67" s="152">
        <f t="shared" si="15"/>
        <v>146713.58100000001</v>
      </c>
      <c r="L67" s="226">
        <f t="shared" si="15"/>
        <v>16301.509</v>
      </c>
      <c r="M67" s="152">
        <f t="shared" si="15"/>
        <v>0</v>
      </c>
      <c r="N67" s="226">
        <f t="shared" si="15"/>
        <v>0</v>
      </c>
      <c r="O67" s="152">
        <f t="shared" si="15"/>
        <v>11364.78</v>
      </c>
      <c r="P67" s="226">
        <f t="shared" si="15"/>
        <v>0</v>
      </c>
      <c r="Q67" s="152">
        <f t="shared" si="15"/>
        <v>87750</v>
      </c>
      <c r="R67" s="225">
        <f>SUM(R60:R65)</f>
        <v>43875</v>
      </c>
      <c r="S67" s="164"/>
    </row>
    <row r="68" spans="1:19" ht="30" customHeight="1" thickBot="1" x14ac:dyDescent="0.35">
      <c r="A68" s="9"/>
      <c r="B68" s="56" t="s">
        <v>21</v>
      </c>
      <c r="C68" s="56"/>
      <c r="D68" s="56"/>
      <c r="E68" s="56"/>
      <c r="F68" s="231" t="s">
        <v>484</v>
      </c>
      <c r="G68" s="232"/>
      <c r="H68" s="232"/>
      <c r="I68" s="217">
        <f>+I67*12</f>
        <v>1189377.3599999999</v>
      </c>
      <c r="J68" s="215">
        <f t="shared" ref="J68:R68" si="16">+J67*12</f>
        <v>0</v>
      </c>
      <c r="K68" s="217">
        <f>+K67</f>
        <v>146713.58100000001</v>
      </c>
      <c r="L68" s="215">
        <f>+L67</f>
        <v>16301.509</v>
      </c>
      <c r="M68" s="217">
        <f t="shared" si="16"/>
        <v>0</v>
      </c>
      <c r="N68" s="215">
        <f t="shared" si="16"/>
        <v>0</v>
      </c>
      <c r="O68" s="217">
        <f t="shared" si="16"/>
        <v>136377.36000000002</v>
      </c>
      <c r="P68" s="215">
        <f t="shared" si="16"/>
        <v>0</v>
      </c>
      <c r="Q68" s="217">
        <f t="shared" si="16"/>
        <v>1053000</v>
      </c>
      <c r="R68" s="216">
        <f t="shared" si="16"/>
        <v>526500</v>
      </c>
      <c r="S68" s="38"/>
    </row>
    <row r="69" spans="1:19" ht="30" customHeight="1" x14ac:dyDescent="0.3">
      <c r="A69" s="9"/>
      <c r="B69" s="56" t="s">
        <v>22</v>
      </c>
      <c r="C69" s="56"/>
      <c r="D69" s="56"/>
      <c r="E69" s="56"/>
      <c r="F69" s="59"/>
      <c r="G69" s="10"/>
      <c r="H69" s="59"/>
      <c r="I69" s="60"/>
      <c r="J69" s="60"/>
      <c r="K69" s="60"/>
      <c r="L69" s="60"/>
      <c r="M69" s="60"/>
      <c r="N69" s="60"/>
      <c r="O69" s="60"/>
      <c r="P69" s="60"/>
      <c r="Q69" s="60"/>
      <c r="R69" s="153"/>
      <c r="S69" s="38"/>
    </row>
    <row r="70" spans="1:19" ht="30" customHeight="1" x14ac:dyDescent="0.3">
      <c r="A70" s="9"/>
      <c r="B70" s="56" t="s">
        <v>23</v>
      </c>
      <c r="C70" s="56"/>
      <c r="D70" s="56"/>
      <c r="E70" s="56"/>
      <c r="F70" s="59"/>
      <c r="G70" s="10"/>
      <c r="H70" s="59"/>
      <c r="I70" s="60"/>
      <c r="J70" s="60"/>
      <c r="K70" s="60"/>
      <c r="L70" s="60"/>
      <c r="M70" s="60"/>
      <c r="N70" s="60"/>
      <c r="O70" s="60"/>
      <c r="P70" s="60"/>
      <c r="Q70" s="60"/>
      <c r="R70" s="153"/>
      <c r="S70" s="38"/>
    </row>
    <row r="71" spans="1:19" ht="30" customHeight="1" x14ac:dyDescent="0.3">
      <c r="A71" s="9"/>
      <c r="B71" s="56"/>
      <c r="C71" s="56"/>
      <c r="D71" s="56"/>
      <c r="E71" s="56"/>
      <c r="F71" s="59"/>
      <c r="G71" s="10"/>
      <c r="H71" s="59"/>
      <c r="I71" s="60"/>
      <c r="J71" s="60"/>
      <c r="K71" s="60"/>
      <c r="L71" s="60"/>
      <c r="M71" s="60"/>
      <c r="N71" s="60"/>
      <c r="O71" s="60"/>
      <c r="P71" s="60"/>
      <c r="Q71" s="60"/>
      <c r="R71" s="153"/>
      <c r="S71" s="38"/>
    </row>
    <row r="72" spans="1:19" s="12" customFormat="1" ht="30" customHeight="1" x14ac:dyDescent="0.3">
      <c r="A72" s="256" t="s">
        <v>32</v>
      </c>
      <c r="B72" s="256"/>
      <c r="C72" s="256"/>
      <c r="D72" s="256"/>
      <c r="E72" s="256"/>
      <c r="F72" s="256"/>
      <c r="G72" s="256"/>
      <c r="H72" s="256"/>
      <c r="I72" s="256"/>
      <c r="J72" s="256"/>
      <c r="K72" s="256"/>
      <c r="L72" s="256"/>
      <c r="M72" s="256"/>
      <c r="N72" s="256"/>
      <c r="O72" s="256"/>
      <c r="P72" s="256"/>
      <c r="Q72" s="256"/>
      <c r="R72" s="153"/>
      <c r="S72" s="38"/>
    </row>
    <row r="73" spans="1:19" s="12" customFormat="1" ht="30" customHeight="1" x14ac:dyDescent="0.3">
      <c r="A73" s="235" t="s">
        <v>0</v>
      </c>
      <c r="B73" s="235"/>
      <c r="C73" s="235"/>
      <c r="D73" s="235"/>
      <c r="E73" s="235"/>
      <c r="F73" s="235"/>
      <c r="G73" s="235"/>
      <c r="H73" s="235"/>
      <c r="I73" s="235"/>
      <c r="J73" s="235"/>
      <c r="K73" s="235"/>
      <c r="L73" s="235"/>
      <c r="M73" s="235"/>
      <c r="N73" s="235"/>
      <c r="O73" s="235"/>
      <c r="P73" s="235"/>
      <c r="Q73" s="235"/>
      <c r="R73" s="153"/>
      <c r="S73" s="38"/>
    </row>
    <row r="74" spans="1:19" s="12" customFormat="1" ht="30" customHeight="1" thickBot="1" x14ac:dyDescent="0.35">
      <c r="A74" s="235" t="s">
        <v>210</v>
      </c>
      <c r="B74" s="235"/>
      <c r="C74" s="235"/>
      <c r="D74" s="235"/>
      <c r="E74" s="235"/>
      <c r="F74" s="235"/>
      <c r="G74" s="235"/>
      <c r="H74" s="235"/>
      <c r="I74" s="235"/>
      <c r="J74" s="235"/>
      <c r="K74" s="235"/>
      <c r="L74" s="235"/>
      <c r="M74" s="235"/>
      <c r="N74" s="235"/>
      <c r="O74" s="235"/>
      <c r="P74" s="235"/>
      <c r="Q74" s="235"/>
      <c r="R74" s="153"/>
      <c r="S74" s="38"/>
    </row>
    <row r="75" spans="1:19" s="5" customFormat="1" ht="24.9" customHeight="1" x14ac:dyDescent="0.3">
      <c r="A75" s="115"/>
      <c r="B75" s="306" t="s">
        <v>72</v>
      </c>
      <c r="C75" s="306"/>
      <c r="D75" s="306"/>
      <c r="E75" s="306"/>
      <c r="F75" s="306"/>
      <c r="G75" s="306"/>
      <c r="H75" s="306"/>
      <c r="I75" s="306"/>
      <c r="J75" s="306"/>
      <c r="K75" s="306"/>
      <c r="L75" s="306"/>
      <c r="M75" s="306"/>
      <c r="N75" s="306"/>
      <c r="O75" s="306"/>
      <c r="P75" s="306"/>
      <c r="Q75" s="306"/>
      <c r="R75" s="309"/>
      <c r="S75" s="161"/>
    </row>
    <row r="76" spans="1:19" s="5" customFormat="1" ht="24.9" customHeight="1" thickBot="1" x14ac:dyDescent="0.35">
      <c r="A76" s="121"/>
      <c r="B76" s="308"/>
      <c r="C76" s="308"/>
      <c r="D76" s="308"/>
      <c r="E76" s="308"/>
      <c r="F76" s="308"/>
      <c r="G76" s="308"/>
      <c r="H76" s="308"/>
      <c r="I76" s="308"/>
      <c r="J76" s="308"/>
      <c r="K76" s="308"/>
      <c r="L76" s="308"/>
      <c r="M76" s="308"/>
      <c r="N76" s="308"/>
      <c r="O76" s="308"/>
      <c r="P76" s="308"/>
      <c r="Q76" s="308"/>
      <c r="R76" s="310"/>
      <c r="S76" s="161"/>
    </row>
    <row r="77" spans="1:19" s="5" customFormat="1" ht="24.9" customHeight="1" x14ac:dyDescent="0.3">
      <c r="A77" s="296"/>
      <c r="B77" s="258" t="s">
        <v>2</v>
      </c>
      <c r="C77" s="245" t="s">
        <v>188</v>
      </c>
      <c r="D77" s="245" t="s">
        <v>189</v>
      </c>
      <c r="E77" s="258" t="s">
        <v>3</v>
      </c>
      <c r="F77" s="261" t="s">
        <v>4</v>
      </c>
      <c r="G77" s="263" t="s">
        <v>5</v>
      </c>
      <c r="H77" s="261" t="s">
        <v>6</v>
      </c>
      <c r="I77" s="261" t="s">
        <v>27</v>
      </c>
      <c r="J77" s="261" t="s">
        <v>8</v>
      </c>
      <c r="K77" s="261" t="s">
        <v>9</v>
      </c>
      <c r="L77" s="261" t="s">
        <v>10</v>
      </c>
      <c r="M77" s="261" t="s">
        <v>11</v>
      </c>
      <c r="N77" s="261" t="s">
        <v>12</v>
      </c>
      <c r="O77" s="261" t="s">
        <v>13</v>
      </c>
      <c r="P77" s="261" t="s">
        <v>14</v>
      </c>
      <c r="Q77" s="266" t="s">
        <v>15</v>
      </c>
      <c r="R77" s="302" t="s">
        <v>149</v>
      </c>
      <c r="S77" s="162"/>
    </row>
    <row r="78" spans="1:19" s="5" customFormat="1" ht="24.9" customHeight="1" thickBot="1" x14ac:dyDescent="0.35">
      <c r="A78" s="297"/>
      <c r="B78" s="249"/>
      <c r="C78" s="246"/>
      <c r="D78" s="246"/>
      <c r="E78" s="249"/>
      <c r="F78" s="239"/>
      <c r="G78" s="272"/>
      <c r="H78" s="239"/>
      <c r="I78" s="239"/>
      <c r="J78" s="239"/>
      <c r="K78" s="239"/>
      <c r="L78" s="239"/>
      <c r="M78" s="239"/>
      <c r="N78" s="239"/>
      <c r="O78" s="239"/>
      <c r="P78" s="239"/>
      <c r="Q78" s="242"/>
      <c r="R78" s="302"/>
      <c r="S78" s="162"/>
    </row>
    <row r="79" spans="1:19" s="25" customFormat="1" ht="39.9" customHeight="1" x14ac:dyDescent="0.3">
      <c r="A79" s="158">
        <v>180</v>
      </c>
      <c r="B79" s="44" t="s">
        <v>118</v>
      </c>
      <c r="C79" s="101" t="s">
        <v>229</v>
      </c>
      <c r="D79" s="101" t="s">
        <v>230</v>
      </c>
      <c r="E79" s="68" t="s">
        <v>28</v>
      </c>
      <c r="F79" s="36" t="s">
        <v>16</v>
      </c>
      <c r="G79" s="35">
        <v>45536</v>
      </c>
      <c r="H79" s="45">
        <v>1308.9988000000001</v>
      </c>
      <c r="I79" s="46">
        <f>19897*2</f>
        <v>39794</v>
      </c>
      <c r="J79" s="47"/>
      <c r="K79" s="46">
        <f>+H79*45</f>
        <v>58904.946000000004</v>
      </c>
      <c r="L79" s="46">
        <f>+H79*20*0.25</f>
        <v>6544.9940000000006</v>
      </c>
      <c r="M79" s="46">
        <v>0</v>
      </c>
      <c r="N79" s="48"/>
      <c r="O79" s="46">
        <f>3508*2</f>
        <v>7016</v>
      </c>
      <c r="P79" s="47"/>
      <c r="Q79" s="49">
        <f>+I79-O79</f>
        <v>32778</v>
      </c>
      <c r="R79" s="104">
        <f>+Q79/2</f>
        <v>16389</v>
      </c>
      <c r="S79" s="147"/>
    </row>
    <row r="80" spans="1:19" s="25" customFormat="1" ht="39.9" customHeight="1" x14ac:dyDescent="0.3">
      <c r="A80" s="158">
        <v>181</v>
      </c>
      <c r="B80" s="44" t="s">
        <v>119</v>
      </c>
      <c r="C80" s="101" t="s">
        <v>231</v>
      </c>
      <c r="D80" s="101" t="s">
        <v>232</v>
      </c>
      <c r="E80" s="69" t="s">
        <v>160</v>
      </c>
      <c r="F80" s="36" t="s">
        <v>17</v>
      </c>
      <c r="G80" s="35">
        <v>45536</v>
      </c>
      <c r="H80" s="61">
        <v>286.58</v>
      </c>
      <c r="I80" s="53">
        <v>8716.7800000000007</v>
      </c>
      <c r="J80" s="62"/>
      <c r="K80" s="63">
        <f>+H80*45</f>
        <v>12896.099999999999</v>
      </c>
      <c r="L80" s="63">
        <f>+H80*20*0.25</f>
        <v>1432.8999999999999</v>
      </c>
      <c r="M80" s="61">
        <v>0</v>
      </c>
      <c r="N80" s="62"/>
      <c r="O80" s="61">
        <f>120.39*2</f>
        <v>240.78</v>
      </c>
      <c r="P80" s="62"/>
      <c r="Q80" s="64">
        <f>+I80+M80-O80</f>
        <v>8476</v>
      </c>
      <c r="R80" s="104">
        <f>+Q80/2</f>
        <v>4238</v>
      </c>
      <c r="S80" s="147"/>
    </row>
    <row r="81" spans="1:19" s="25" customFormat="1" ht="39.9" customHeight="1" x14ac:dyDescent="0.3">
      <c r="A81" s="109">
        <v>182</v>
      </c>
      <c r="B81" s="50" t="s">
        <v>120</v>
      </c>
      <c r="C81" s="101" t="s">
        <v>233</v>
      </c>
      <c r="D81" s="101" t="s">
        <v>234</v>
      </c>
      <c r="E81" s="69" t="s">
        <v>160</v>
      </c>
      <c r="F81" s="37" t="s">
        <v>17</v>
      </c>
      <c r="G81" s="35">
        <v>45536</v>
      </c>
      <c r="H81" s="61">
        <v>286.58</v>
      </c>
      <c r="I81" s="53">
        <v>8716.7800000000007</v>
      </c>
      <c r="J81" s="62"/>
      <c r="K81" s="63">
        <f>+H81*45</f>
        <v>12896.099999999999</v>
      </c>
      <c r="L81" s="63">
        <f>+H81*20*0.25</f>
        <v>1432.8999999999999</v>
      </c>
      <c r="M81" s="61">
        <v>0</v>
      </c>
      <c r="N81" s="62"/>
      <c r="O81" s="61">
        <f>120.39*2</f>
        <v>240.78</v>
      </c>
      <c r="P81" s="62"/>
      <c r="Q81" s="64">
        <f>+I81+M81-O81</f>
        <v>8476</v>
      </c>
      <c r="R81" s="104">
        <f>+Q81/2</f>
        <v>4238</v>
      </c>
      <c r="S81" s="147"/>
    </row>
    <row r="82" spans="1:19" s="6" customFormat="1" ht="30" customHeight="1" thickBot="1" x14ac:dyDescent="0.35">
      <c r="A82" s="7"/>
      <c r="B82" s="56" t="s">
        <v>19</v>
      </c>
      <c r="C82" s="56"/>
      <c r="D82" s="56"/>
      <c r="E82" s="57"/>
      <c r="F82" s="4"/>
      <c r="G82" s="7"/>
      <c r="H82" s="4"/>
      <c r="I82" s="4"/>
      <c r="J82" s="4"/>
      <c r="K82" s="4"/>
      <c r="L82" s="4"/>
      <c r="M82" s="13"/>
      <c r="N82" s="13"/>
      <c r="O82" s="13"/>
      <c r="P82" s="13"/>
      <c r="Q82" s="13"/>
      <c r="R82" s="153"/>
      <c r="S82" s="38"/>
    </row>
    <row r="83" spans="1:19" s="6" customFormat="1" ht="30" customHeight="1" thickBot="1" x14ac:dyDescent="0.35">
      <c r="A83" s="7"/>
      <c r="B83" s="56" t="s">
        <v>20</v>
      </c>
      <c r="C83" s="56"/>
      <c r="D83" s="56"/>
      <c r="E83" s="57"/>
      <c r="F83" s="243" t="s">
        <v>18</v>
      </c>
      <c r="G83" s="244"/>
      <c r="H83" s="276"/>
      <c r="I83" s="195">
        <f t="shared" ref="I83:R83" si="17">SUM(I79:I81)</f>
        <v>57227.56</v>
      </c>
      <c r="J83" s="193">
        <f t="shared" si="17"/>
        <v>0</v>
      </c>
      <c r="K83" s="195">
        <f t="shared" si="17"/>
        <v>84697.146000000008</v>
      </c>
      <c r="L83" s="193">
        <f t="shared" si="17"/>
        <v>9410.7939999999999</v>
      </c>
      <c r="M83" s="195">
        <f t="shared" si="17"/>
        <v>0</v>
      </c>
      <c r="N83" s="193">
        <f t="shared" si="17"/>
        <v>0</v>
      </c>
      <c r="O83" s="195">
        <f t="shared" si="17"/>
        <v>7497.5599999999995</v>
      </c>
      <c r="P83" s="193">
        <f t="shared" si="17"/>
        <v>0</v>
      </c>
      <c r="Q83" s="195">
        <f t="shared" si="17"/>
        <v>49730</v>
      </c>
      <c r="R83" s="194">
        <f t="shared" si="17"/>
        <v>24865</v>
      </c>
      <c r="S83" s="164"/>
    </row>
    <row r="84" spans="1:19" ht="30" customHeight="1" thickBot="1" x14ac:dyDescent="0.35">
      <c r="A84" s="9"/>
      <c r="B84" s="56" t="s">
        <v>21</v>
      </c>
      <c r="C84" s="56"/>
      <c r="D84" s="56"/>
      <c r="E84" s="56"/>
      <c r="F84" s="231" t="s">
        <v>484</v>
      </c>
      <c r="G84" s="232"/>
      <c r="H84" s="232"/>
      <c r="I84" s="217">
        <f>+I83*12</f>
        <v>686730.72</v>
      </c>
      <c r="J84" s="215">
        <f t="shared" ref="J84:R84" si="18">+J83*12</f>
        <v>0</v>
      </c>
      <c r="K84" s="217">
        <f>+K83</f>
        <v>84697.146000000008</v>
      </c>
      <c r="L84" s="215">
        <f>+L83</f>
        <v>9410.7939999999999</v>
      </c>
      <c r="M84" s="217">
        <f t="shared" si="18"/>
        <v>0</v>
      </c>
      <c r="N84" s="215">
        <f t="shared" si="18"/>
        <v>0</v>
      </c>
      <c r="O84" s="217">
        <f t="shared" si="18"/>
        <v>89970.72</v>
      </c>
      <c r="P84" s="215">
        <f t="shared" si="18"/>
        <v>0</v>
      </c>
      <c r="Q84" s="217">
        <f t="shared" si="18"/>
        <v>596760</v>
      </c>
      <c r="R84" s="216">
        <f t="shared" si="18"/>
        <v>298380</v>
      </c>
      <c r="S84" s="38"/>
    </row>
    <row r="85" spans="1:19" ht="30" customHeight="1" x14ac:dyDescent="0.3">
      <c r="A85" s="9"/>
      <c r="B85" s="56" t="s">
        <v>22</v>
      </c>
      <c r="C85" s="56"/>
      <c r="D85" s="56"/>
      <c r="E85" s="56"/>
      <c r="F85" s="59"/>
      <c r="G85" s="10"/>
      <c r="H85" s="59"/>
      <c r="I85" s="60"/>
      <c r="J85" s="60"/>
      <c r="K85" s="60"/>
      <c r="L85" s="60"/>
      <c r="M85" s="60"/>
      <c r="N85" s="60"/>
      <c r="O85" s="60"/>
      <c r="P85" s="60"/>
      <c r="Q85" s="60"/>
      <c r="R85" s="153"/>
      <c r="S85" s="38"/>
    </row>
    <row r="86" spans="1:19" ht="30" customHeight="1" x14ac:dyDescent="0.3">
      <c r="A86" s="9"/>
      <c r="B86" s="56" t="s">
        <v>23</v>
      </c>
      <c r="C86" s="56"/>
      <c r="D86" s="56"/>
      <c r="E86" s="56"/>
      <c r="F86" s="59"/>
      <c r="G86" s="10"/>
      <c r="H86" s="59"/>
      <c r="I86" s="60"/>
      <c r="J86" s="60"/>
      <c r="K86" s="60"/>
      <c r="L86" s="60"/>
      <c r="M86" s="60"/>
      <c r="N86" s="60"/>
      <c r="O86" s="60"/>
      <c r="P86" s="60"/>
      <c r="Q86" s="60"/>
      <c r="R86" s="153"/>
      <c r="S86" s="38"/>
    </row>
    <row r="87" spans="1:19" ht="30" customHeight="1" x14ac:dyDescent="0.3">
      <c r="A87" s="9"/>
      <c r="B87" s="56"/>
      <c r="C87" s="56"/>
      <c r="D87" s="56"/>
      <c r="E87" s="56"/>
      <c r="F87" s="59"/>
      <c r="G87" s="10"/>
      <c r="H87" s="59"/>
      <c r="I87" s="60"/>
      <c r="J87" s="60"/>
      <c r="K87" s="60"/>
      <c r="L87" s="60"/>
      <c r="M87" s="60"/>
      <c r="N87" s="60"/>
      <c r="O87" s="60"/>
      <c r="P87" s="60"/>
      <c r="Q87" s="60"/>
      <c r="R87" s="153"/>
      <c r="S87" s="38"/>
    </row>
    <row r="88" spans="1:19" s="12" customFormat="1" ht="30" customHeight="1" x14ac:dyDescent="0.3">
      <c r="A88" s="256" t="s">
        <v>32</v>
      </c>
      <c r="B88" s="256"/>
      <c r="C88" s="256"/>
      <c r="D88" s="256"/>
      <c r="E88" s="256"/>
      <c r="F88" s="256"/>
      <c r="G88" s="256"/>
      <c r="H88" s="256"/>
      <c r="I88" s="256"/>
      <c r="J88" s="256"/>
      <c r="K88" s="256"/>
      <c r="L88" s="256"/>
      <c r="M88" s="256"/>
      <c r="N88" s="256"/>
      <c r="O88" s="256"/>
      <c r="P88" s="256"/>
      <c r="Q88" s="256"/>
      <c r="R88" s="153"/>
      <c r="S88" s="38"/>
    </row>
    <row r="89" spans="1:19" s="12" customFormat="1" ht="30" customHeight="1" x14ac:dyDescent="0.3">
      <c r="A89" s="235" t="s">
        <v>0</v>
      </c>
      <c r="B89" s="235"/>
      <c r="C89" s="235"/>
      <c r="D89" s="235"/>
      <c r="E89" s="235"/>
      <c r="F89" s="235"/>
      <c r="G89" s="235"/>
      <c r="H89" s="235"/>
      <c r="I89" s="235"/>
      <c r="J89" s="235"/>
      <c r="K89" s="235"/>
      <c r="L89" s="235"/>
      <c r="M89" s="235"/>
      <c r="N89" s="235"/>
      <c r="O89" s="235"/>
      <c r="P89" s="235"/>
      <c r="Q89" s="235"/>
      <c r="R89" s="153"/>
      <c r="S89" s="38"/>
    </row>
    <row r="90" spans="1:19" s="12" customFormat="1" ht="30" customHeight="1" thickBot="1" x14ac:dyDescent="0.35">
      <c r="A90" s="235" t="s">
        <v>210</v>
      </c>
      <c r="B90" s="235"/>
      <c r="C90" s="235"/>
      <c r="D90" s="235"/>
      <c r="E90" s="235"/>
      <c r="F90" s="235"/>
      <c r="G90" s="235"/>
      <c r="H90" s="235"/>
      <c r="I90" s="235"/>
      <c r="J90" s="235"/>
      <c r="K90" s="235"/>
      <c r="L90" s="235"/>
      <c r="M90" s="235"/>
      <c r="N90" s="235"/>
      <c r="O90" s="235"/>
      <c r="P90" s="235"/>
      <c r="Q90" s="235"/>
      <c r="R90" s="153"/>
      <c r="S90" s="38"/>
    </row>
    <row r="91" spans="1:19" s="5" customFormat="1" ht="24.9" customHeight="1" x14ac:dyDescent="0.3">
      <c r="A91" s="115"/>
      <c r="B91" s="305" t="s">
        <v>487</v>
      </c>
      <c r="C91" s="306"/>
      <c r="D91" s="306"/>
      <c r="E91" s="306"/>
      <c r="F91" s="306"/>
      <c r="G91" s="306"/>
      <c r="H91" s="306"/>
      <c r="I91" s="306"/>
      <c r="J91" s="306"/>
      <c r="K91" s="306"/>
      <c r="L91" s="306"/>
      <c r="M91" s="306"/>
      <c r="N91" s="306"/>
      <c r="O91" s="306"/>
      <c r="P91" s="306"/>
      <c r="Q91" s="306"/>
      <c r="R91" s="306"/>
      <c r="S91" s="161"/>
    </row>
    <row r="92" spans="1:19" s="5" customFormat="1" ht="24.9" customHeight="1" thickBot="1" x14ac:dyDescent="0.35">
      <c r="A92" s="116"/>
      <c r="B92" s="307"/>
      <c r="C92" s="308"/>
      <c r="D92" s="308"/>
      <c r="E92" s="308"/>
      <c r="F92" s="308"/>
      <c r="G92" s="308"/>
      <c r="H92" s="308"/>
      <c r="I92" s="308"/>
      <c r="J92" s="308"/>
      <c r="K92" s="308"/>
      <c r="L92" s="308"/>
      <c r="M92" s="308"/>
      <c r="N92" s="308"/>
      <c r="O92" s="308"/>
      <c r="P92" s="308"/>
      <c r="Q92" s="308"/>
      <c r="R92" s="308"/>
      <c r="S92" s="161"/>
    </row>
    <row r="93" spans="1:19" s="5" customFormat="1" ht="24.9" customHeight="1" x14ac:dyDescent="0.3">
      <c r="A93" s="236"/>
      <c r="B93" s="258" t="s">
        <v>2</v>
      </c>
      <c r="C93" s="245" t="s">
        <v>188</v>
      </c>
      <c r="D93" s="245" t="s">
        <v>189</v>
      </c>
      <c r="E93" s="258" t="s">
        <v>3</v>
      </c>
      <c r="F93" s="261" t="s">
        <v>4</v>
      </c>
      <c r="G93" s="263" t="s">
        <v>5</v>
      </c>
      <c r="H93" s="261" t="s">
        <v>6</v>
      </c>
      <c r="I93" s="261" t="s">
        <v>7</v>
      </c>
      <c r="J93" s="261" t="s">
        <v>8</v>
      </c>
      <c r="K93" s="261" t="s">
        <v>9</v>
      </c>
      <c r="L93" s="261" t="s">
        <v>10</v>
      </c>
      <c r="M93" s="261" t="s">
        <v>11</v>
      </c>
      <c r="N93" s="261" t="s">
        <v>12</v>
      </c>
      <c r="O93" s="261" t="s">
        <v>13</v>
      </c>
      <c r="P93" s="261" t="s">
        <v>14</v>
      </c>
      <c r="Q93" s="266" t="s">
        <v>15</v>
      </c>
      <c r="R93" s="302" t="s">
        <v>149</v>
      </c>
      <c r="S93" s="162"/>
    </row>
    <row r="94" spans="1:19" s="5" customFormat="1" ht="24.9" customHeight="1" thickBot="1" x14ac:dyDescent="0.35">
      <c r="A94" s="237"/>
      <c r="B94" s="271"/>
      <c r="C94" s="246"/>
      <c r="D94" s="246"/>
      <c r="E94" s="249"/>
      <c r="F94" s="239"/>
      <c r="G94" s="272"/>
      <c r="H94" s="239"/>
      <c r="I94" s="239"/>
      <c r="J94" s="239"/>
      <c r="K94" s="239"/>
      <c r="L94" s="239"/>
      <c r="M94" s="239"/>
      <c r="N94" s="240"/>
      <c r="O94" s="240"/>
      <c r="P94" s="239"/>
      <c r="Q94" s="242"/>
      <c r="R94" s="302"/>
      <c r="S94" s="162"/>
    </row>
    <row r="95" spans="1:19" s="25" customFormat="1" ht="39.9" customHeight="1" x14ac:dyDescent="0.3">
      <c r="A95" s="32">
        <v>183</v>
      </c>
      <c r="B95" s="71" t="s">
        <v>109</v>
      </c>
      <c r="C95" s="101" t="s">
        <v>235</v>
      </c>
      <c r="D95" s="101" t="s">
        <v>236</v>
      </c>
      <c r="E95" s="71" t="s">
        <v>165</v>
      </c>
      <c r="F95" s="70" t="s">
        <v>17</v>
      </c>
      <c r="G95" s="35">
        <v>45536</v>
      </c>
      <c r="H95" s="72">
        <v>557.64250000000004</v>
      </c>
      <c r="I95" s="73">
        <f>8476*2</f>
        <v>16952</v>
      </c>
      <c r="J95" s="74"/>
      <c r="K95" s="73">
        <f>+H95*45</f>
        <v>25093.912500000002</v>
      </c>
      <c r="L95" s="73">
        <f>+H95*20*0.25</f>
        <v>2788.2125000000001</v>
      </c>
      <c r="M95" s="73"/>
      <c r="N95" s="75"/>
      <c r="O95" s="73">
        <f>976*2</f>
        <v>1952</v>
      </c>
      <c r="P95" s="74"/>
      <c r="Q95" s="76">
        <f>+I95-O95</f>
        <v>15000</v>
      </c>
      <c r="R95" s="104">
        <f>+Q95/2</f>
        <v>7500</v>
      </c>
      <c r="S95" s="147"/>
    </row>
    <row r="96" spans="1:19" s="25" customFormat="1" ht="39.9" customHeight="1" x14ac:dyDescent="0.3">
      <c r="A96" s="32">
        <v>184</v>
      </c>
      <c r="B96" s="71" t="s">
        <v>152</v>
      </c>
      <c r="C96" s="101" t="s">
        <v>237</v>
      </c>
      <c r="D96" s="101" t="s">
        <v>238</v>
      </c>
      <c r="E96" s="71" t="s">
        <v>244</v>
      </c>
      <c r="F96" s="70" t="s">
        <v>17</v>
      </c>
      <c r="G96" s="35">
        <v>45536</v>
      </c>
      <c r="H96" s="72">
        <v>475.48540000000003</v>
      </c>
      <c r="I96" s="73">
        <f>7227*2</f>
        <v>14454</v>
      </c>
      <c r="J96" s="74"/>
      <c r="K96" s="73">
        <f>+H96*45</f>
        <v>21396.843000000001</v>
      </c>
      <c r="L96" s="73">
        <f>+H96*20*0.25</f>
        <v>2377.4270000000001</v>
      </c>
      <c r="M96" s="73"/>
      <c r="N96" s="75"/>
      <c r="O96" s="73">
        <f>727*2</f>
        <v>1454</v>
      </c>
      <c r="P96" s="74"/>
      <c r="Q96" s="76">
        <f>+I96-O96</f>
        <v>13000</v>
      </c>
      <c r="R96" s="104">
        <f>+Q96/2</f>
        <v>6500</v>
      </c>
      <c r="S96" s="147"/>
    </row>
    <row r="97" spans="1:19" s="25" customFormat="1" ht="39.9" customHeight="1" x14ac:dyDescent="0.3">
      <c r="A97" s="101">
        <v>235</v>
      </c>
      <c r="B97" s="127" t="s">
        <v>243</v>
      </c>
      <c r="C97" s="101" t="s">
        <v>241</v>
      </c>
      <c r="D97" s="101" t="s">
        <v>242</v>
      </c>
      <c r="E97" s="66" t="s">
        <v>160</v>
      </c>
      <c r="F97" s="77" t="s">
        <v>17</v>
      </c>
      <c r="G97" s="128">
        <v>45627</v>
      </c>
      <c r="H97" s="129">
        <v>357.39</v>
      </c>
      <c r="I97" s="130">
        <f>5432*2</f>
        <v>10864</v>
      </c>
      <c r="J97" s="62"/>
      <c r="K97" s="63">
        <f>+H97*45</f>
        <v>16082.55</v>
      </c>
      <c r="L97" s="63">
        <f>+H97*20*0.25</f>
        <v>1786.9499999999998</v>
      </c>
      <c r="M97" s="63">
        <v>0</v>
      </c>
      <c r="N97" s="78"/>
      <c r="O97" s="63">
        <f>432*2</f>
        <v>864</v>
      </c>
      <c r="P97" s="62"/>
      <c r="Q97" s="64">
        <f>+I97+M97-O97</f>
        <v>10000</v>
      </c>
      <c r="R97" s="104">
        <f>+Q97/2</f>
        <v>5000</v>
      </c>
      <c r="S97" s="147"/>
    </row>
    <row r="98" spans="1:19" s="25" customFormat="1" ht="39.9" customHeight="1" x14ac:dyDescent="0.3">
      <c r="A98" s="26">
        <v>185</v>
      </c>
      <c r="B98" s="66" t="s">
        <v>110</v>
      </c>
      <c r="C98" s="101" t="s">
        <v>239</v>
      </c>
      <c r="D98" s="101" t="s">
        <v>240</v>
      </c>
      <c r="E98" s="66" t="s">
        <v>483</v>
      </c>
      <c r="F98" s="77" t="s">
        <v>17</v>
      </c>
      <c r="G98" s="35">
        <v>45536</v>
      </c>
      <c r="H98" s="61">
        <v>286.58</v>
      </c>
      <c r="I98" s="53">
        <v>8716.7800000000007</v>
      </c>
      <c r="J98" s="62"/>
      <c r="K98" s="63">
        <f>+H98*45</f>
        <v>12896.099999999999</v>
      </c>
      <c r="L98" s="63">
        <f>+H98*20*0.25</f>
        <v>1432.8999999999999</v>
      </c>
      <c r="M98" s="61">
        <v>0</v>
      </c>
      <c r="N98" s="62"/>
      <c r="O98" s="61">
        <f>120.39*2</f>
        <v>240.78</v>
      </c>
      <c r="P98" s="62"/>
      <c r="Q98" s="64">
        <f>+I98+M98-O98</f>
        <v>8476</v>
      </c>
      <c r="R98" s="104">
        <f>+Q98/2</f>
        <v>4238</v>
      </c>
      <c r="S98" s="147"/>
    </row>
    <row r="99" spans="1:19" s="25" customFormat="1" ht="48" customHeight="1" x14ac:dyDescent="0.3">
      <c r="A99" s="122"/>
      <c r="B99" s="71" t="s">
        <v>187</v>
      </c>
      <c r="C99" s="71"/>
      <c r="D99" s="71"/>
      <c r="E99" s="71" t="s">
        <v>80</v>
      </c>
      <c r="F99" s="70" t="s">
        <v>17</v>
      </c>
      <c r="G99" s="33"/>
      <c r="H99" s="61">
        <v>286.58</v>
      </c>
      <c r="I99" s="53">
        <v>8716.7800000000007</v>
      </c>
      <c r="J99" s="62"/>
      <c r="K99" s="63">
        <f>+H99*45</f>
        <v>12896.099999999999</v>
      </c>
      <c r="L99" s="63">
        <f>+H99*20*0.25</f>
        <v>1432.8999999999999</v>
      </c>
      <c r="M99" s="61">
        <v>0</v>
      </c>
      <c r="N99" s="62"/>
      <c r="O99" s="61">
        <f>120.39*2</f>
        <v>240.78</v>
      </c>
      <c r="P99" s="62"/>
      <c r="Q99" s="64">
        <f>+I99+M99-O99</f>
        <v>8476</v>
      </c>
      <c r="R99" s="104">
        <f>+Q99/2</f>
        <v>4238</v>
      </c>
      <c r="S99" s="147"/>
    </row>
    <row r="101" spans="1:19" s="6" customFormat="1" ht="30" customHeight="1" thickBot="1" x14ac:dyDescent="0.35">
      <c r="A101" s="7"/>
      <c r="B101" s="56" t="s">
        <v>19</v>
      </c>
      <c r="C101" s="56"/>
      <c r="D101" s="56"/>
      <c r="E101" s="57"/>
      <c r="F101" s="4"/>
      <c r="G101" s="7"/>
      <c r="H101" s="4"/>
      <c r="I101" s="4"/>
      <c r="J101" s="4"/>
      <c r="K101" s="4"/>
      <c r="L101" s="4"/>
      <c r="M101" s="13"/>
      <c r="N101" s="13"/>
      <c r="O101" s="13"/>
      <c r="P101" s="13"/>
      <c r="Q101" s="13"/>
      <c r="R101" s="153"/>
      <c r="S101" s="38"/>
    </row>
    <row r="102" spans="1:19" s="6" customFormat="1" ht="30" customHeight="1" thickBot="1" x14ac:dyDescent="0.35">
      <c r="A102" s="7"/>
      <c r="B102" s="56" t="s">
        <v>20</v>
      </c>
      <c r="C102" s="56"/>
      <c r="D102" s="56"/>
      <c r="E102" s="57"/>
      <c r="F102" s="243" t="s">
        <v>18</v>
      </c>
      <c r="G102" s="244"/>
      <c r="H102" s="276"/>
      <c r="I102" s="195">
        <f t="shared" ref="I102:R102" si="19">SUM(I95:I99)</f>
        <v>59703.56</v>
      </c>
      <c r="J102" s="193">
        <f t="shared" si="19"/>
        <v>0</v>
      </c>
      <c r="K102" s="195">
        <f t="shared" si="19"/>
        <v>88365.505499999999</v>
      </c>
      <c r="L102" s="193">
        <f t="shared" si="19"/>
        <v>9818.3894999999993</v>
      </c>
      <c r="M102" s="195">
        <f t="shared" si="19"/>
        <v>0</v>
      </c>
      <c r="N102" s="193">
        <f t="shared" si="19"/>
        <v>0</v>
      </c>
      <c r="O102" s="195">
        <f t="shared" si="19"/>
        <v>4751.5599999999995</v>
      </c>
      <c r="P102" s="193">
        <f t="shared" si="19"/>
        <v>0</v>
      </c>
      <c r="Q102" s="195">
        <f t="shared" si="19"/>
        <v>54952</v>
      </c>
      <c r="R102" s="194">
        <f t="shared" si="19"/>
        <v>27476</v>
      </c>
      <c r="S102" s="164"/>
    </row>
    <row r="103" spans="1:19" ht="30" customHeight="1" thickBot="1" x14ac:dyDescent="0.35">
      <c r="A103" s="9"/>
      <c r="B103" s="56" t="s">
        <v>21</v>
      </c>
      <c r="C103" s="56"/>
      <c r="D103" s="56"/>
      <c r="E103" s="56"/>
      <c r="F103" s="231" t="s">
        <v>484</v>
      </c>
      <c r="G103" s="232"/>
      <c r="H103" s="232"/>
      <c r="I103" s="207">
        <f>+I102*12</f>
        <v>716442.72</v>
      </c>
      <c r="J103" s="215">
        <f t="shared" ref="J103:R103" si="20">+J102*12</f>
        <v>0</v>
      </c>
      <c r="K103" s="217">
        <f>+K102</f>
        <v>88365.505499999999</v>
      </c>
      <c r="L103" s="215">
        <f>+L102</f>
        <v>9818.3894999999993</v>
      </c>
      <c r="M103" s="217">
        <f t="shared" si="20"/>
        <v>0</v>
      </c>
      <c r="N103" s="215">
        <f t="shared" si="20"/>
        <v>0</v>
      </c>
      <c r="O103" s="217">
        <f t="shared" si="20"/>
        <v>57018.719999999994</v>
      </c>
      <c r="P103" s="215">
        <f t="shared" si="20"/>
        <v>0</v>
      </c>
      <c r="Q103" s="217">
        <f t="shared" si="20"/>
        <v>659424</v>
      </c>
      <c r="R103" s="216">
        <f t="shared" si="20"/>
        <v>329712</v>
      </c>
      <c r="S103" s="38"/>
    </row>
    <row r="104" spans="1:19" ht="30" customHeight="1" x14ac:dyDescent="0.3">
      <c r="A104" s="9"/>
      <c r="B104" s="56" t="s">
        <v>22</v>
      </c>
      <c r="C104" s="56"/>
      <c r="D104" s="56"/>
      <c r="E104" s="56"/>
      <c r="F104" s="59"/>
      <c r="G104" s="10"/>
      <c r="H104" s="59"/>
      <c r="I104" s="60"/>
      <c r="J104" s="60"/>
      <c r="K104" s="60"/>
      <c r="L104" s="60"/>
      <c r="M104" s="60"/>
      <c r="N104" s="60"/>
      <c r="O104" s="60"/>
      <c r="P104" s="60"/>
      <c r="Q104" s="60"/>
      <c r="R104" s="153"/>
      <c r="S104" s="38"/>
    </row>
    <row r="105" spans="1:19" ht="30" customHeight="1" x14ac:dyDescent="0.3">
      <c r="A105" s="9"/>
      <c r="B105" s="56" t="s">
        <v>23</v>
      </c>
      <c r="C105" s="56"/>
      <c r="D105" s="56"/>
      <c r="E105" s="56"/>
      <c r="F105" s="59"/>
      <c r="G105" s="10"/>
      <c r="H105" s="59"/>
      <c r="I105" s="60"/>
      <c r="J105" s="60"/>
      <c r="K105" s="60"/>
      <c r="L105" s="60"/>
      <c r="M105" s="60"/>
      <c r="N105" s="60"/>
      <c r="O105" s="60"/>
      <c r="P105" s="60"/>
      <c r="Q105" s="60"/>
      <c r="R105" s="153"/>
      <c r="S105" s="38"/>
    </row>
    <row r="106" spans="1:19" ht="30" customHeight="1" x14ac:dyDescent="0.3">
      <c r="A106" s="9"/>
      <c r="B106" s="56"/>
      <c r="C106" s="56"/>
      <c r="D106" s="56"/>
      <c r="E106" s="56"/>
      <c r="F106" s="59"/>
      <c r="G106" s="10"/>
      <c r="H106" s="59"/>
      <c r="I106" s="60"/>
      <c r="J106" s="60"/>
      <c r="K106" s="60"/>
      <c r="L106" s="60"/>
      <c r="M106" s="60"/>
      <c r="N106" s="60"/>
      <c r="O106" s="60"/>
      <c r="P106" s="60"/>
      <c r="Q106" s="60"/>
      <c r="R106" s="153"/>
      <c r="S106" s="38"/>
    </row>
    <row r="107" spans="1:19" s="12" customFormat="1" ht="30" customHeight="1" x14ac:dyDescent="0.3">
      <c r="A107" s="256" t="s">
        <v>32</v>
      </c>
      <c r="B107" s="256"/>
      <c r="C107" s="256"/>
      <c r="D107" s="256"/>
      <c r="E107" s="256"/>
      <c r="F107" s="256"/>
      <c r="G107" s="256"/>
      <c r="H107" s="256"/>
      <c r="I107" s="256"/>
      <c r="J107" s="256"/>
      <c r="K107" s="256"/>
      <c r="L107" s="256"/>
      <c r="M107" s="256"/>
      <c r="N107" s="256"/>
      <c r="O107" s="256"/>
      <c r="P107" s="256"/>
      <c r="Q107" s="256"/>
      <c r="R107" s="153"/>
      <c r="S107" s="38"/>
    </row>
    <row r="108" spans="1:19" s="12" customFormat="1" ht="30" customHeight="1" x14ac:dyDescent="0.3">
      <c r="A108" s="235" t="s">
        <v>0</v>
      </c>
      <c r="B108" s="235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  <c r="O108" s="235"/>
      <c r="P108" s="235"/>
      <c r="Q108" s="235"/>
      <c r="R108" s="153"/>
      <c r="S108" s="38"/>
    </row>
    <row r="109" spans="1:19" s="12" customFormat="1" ht="30" customHeight="1" thickBot="1" x14ac:dyDescent="0.35">
      <c r="A109" s="235" t="s">
        <v>210</v>
      </c>
      <c r="B109" s="235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  <c r="O109" s="235"/>
      <c r="P109" s="235"/>
      <c r="Q109" s="235"/>
      <c r="R109" s="153"/>
      <c r="S109" s="38"/>
    </row>
    <row r="110" spans="1:19" s="5" customFormat="1" ht="24.9" customHeight="1" x14ac:dyDescent="0.3">
      <c r="A110" s="115"/>
      <c r="B110" s="305" t="s">
        <v>73</v>
      </c>
      <c r="C110" s="306"/>
      <c r="D110" s="306"/>
      <c r="E110" s="306"/>
      <c r="F110" s="306"/>
      <c r="G110" s="306"/>
      <c r="H110" s="306"/>
      <c r="I110" s="306"/>
      <c r="J110" s="306"/>
      <c r="K110" s="306"/>
      <c r="L110" s="306"/>
      <c r="M110" s="306"/>
      <c r="N110" s="306"/>
      <c r="O110" s="306"/>
      <c r="P110" s="306"/>
      <c r="Q110" s="306"/>
      <c r="R110" s="306"/>
      <c r="S110" s="161"/>
    </row>
    <row r="111" spans="1:19" s="5" customFormat="1" ht="24.9" customHeight="1" thickBot="1" x14ac:dyDescent="0.35">
      <c r="A111" s="116"/>
      <c r="B111" s="307"/>
      <c r="C111" s="308"/>
      <c r="D111" s="308"/>
      <c r="E111" s="308"/>
      <c r="F111" s="308"/>
      <c r="G111" s="308"/>
      <c r="H111" s="308"/>
      <c r="I111" s="308"/>
      <c r="J111" s="308"/>
      <c r="K111" s="308"/>
      <c r="L111" s="308"/>
      <c r="M111" s="308"/>
      <c r="N111" s="308"/>
      <c r="O111" s="308"/>
      <c r="P111" s="308"/>
      <c r="Q111" s="308"/>
      <c r="R111" s="308"/>
      <c r="S111" s="161"/>
    </row>
    <row r="112" spans="1:19" s="25" customFormat="1" ht="27.9" customHeight="1" x14ac:dyDescent="0.3">
      <c r="A112" s="236"/>
      <c r="B112" s="258" t="s">
        <v>2</v>
      </c>
      <c r="C112" s="245" t="s">
        <v>188</v>
      </c>
      <c r="D112" s="245" t="s">
        <v>189</v>
      </c>
      <c r="E112" s="258" t="s">
        <v>3</v>
      </c>
      <c r="F112" s="261" t="s">
        <v>4</v>
      </c>
      <c r="G112" s="263" t="s">
        <v>5</v>
      </c>
      <c r="H112" s="261" t="s">
        <v>6</v>
      </c>
      <c r="I112" s="261" t="s">
        <v>7</v>
      </c>
      <c r="J112" s="261" t="s">
        <v>8</v>
      </c>
      <c r="K112" s="261" t="s">
        <v>9</v>
      </c>
      <c r="L112" s="261" t="s">
        <v>10</v>
      </c>
      <c r="M112" s="261" t="s">
        <v>11</v>
      </c>
      <c r="N112" s="261" t="s">
        <v>12</v>
      </c>
      <c r="O112" s="261" t="s">
        <v>13</v>
      </c>
      <c r="P112" s="261" t="s">
        <v>14</v>
      </c>
      <c r="Q112" s="266" t="s">
        <v>15</v>
      </c>
      <c r="R112" s="302" t="s">
        <v>149</v>
      </c>
      <c r="S112" s="162"/>
    </row>
    <row r="113" spans="1:19" s="25" customFormat="1" ht="27.9" customHeight="1" thickBot="1" x14ac:dyDescent="0.35">
      <c r="A113" s="237"/>
      <c r="B113" s="271"/>
      <c r="C113" s="246"/>
      <c r="D113" s="246"/>
      <c r="E113" s="249"/>
      <c r="F113" s="239"/>
      <c r="G113" s="251"/>
      <c r="H113" s="239"/>
      <c r="I113" s="239"/>
      <c r="J113" s="239"/>
      <c r="K113" s="239"/>
      <c r="L113" s="239"/>
      <c r="M113" s="239"/>
      <c r="N113" s="240"/>
      <c r="O113" s="240"/>
      <c r="P113" s="239"/>
      <c r="Q113" s="242"/>
      <c r="R113" s="302"/>
      <c r="S113" s="162"/>
    </row>
    <row r="114" spans="1:19" s="25" customFormat="1" ht="39.9" customHeight="1" x14ac:dyDescent="0.3">
      <c r="A114" s="32">
        <v>186</v>
      </c>
      <c r="B114" s="71" t="s">
        <v>111</v>
      </c>
      <c r="C114" s="101" t="s">
        <v>245</v>
      </c>
      <c r="D114" s="101" t="s">
        <v>246</v>
      </c>
      <c r="E114" s="71" t="s">
        <v>40</v>
      </c>
      <c r="F114" s="70" t="s">
        <v>16</v>
      </c>
      <c r="G114" s="128">
        <v>45536</v>
      </c>
      <c r="H114" s="72">
        <v>575.4348</v>
      </c>
      <c r="I114" s="73">
        <f>8747*2</f>
        <v>17494</v>
      </c>
      <c r="J114" s="74"/>
      <c r="K114" s="73">
        <f>+H114*45</f>
        <v>25894.565999999999</v>
      </c>
      <c r="L114" s="73">
        <f>+H114*20*0.25</f>
        <v>2877.174</v>
      </c>
      <c r="M114" s="73">
        <v>0</v>
      </c>
      <c r="N114" s="74"/>
      <c r="O114" s="72">
        <f>1034*2</f>
        <v>2068</v>
      </c>
      <c r="P114" s="74"/>
      <c r="Q114" s="76">
        <f>+I114-O114</f>
        <v>15426</v>
      </c>
      <c r="R114" s="104">
        <f>+Q114/2</f>
        <v>7713</v>
      </c>
      <c r="S114" s="147"/>
    </row>
    <row r="115" spans="1:19" s="21" customFormat="1" ht="39.9" customHeight="1" x14ac:dyDescent="0.3">
      <c r="A115" s="20" t="s">
        <v>31</v>
      </c>
      <c r="B115" s="66" t="s">
        <v>85</v>
      </c>
      <c r="C115" s="101" t="s">
        <v>247</v>
      </c>
      <c r="D115" s="101" t="s">
        <v>248</v>
      </c>
      <c r="E115" s="66" t="s">
        <v>183</v>
      </c>
      <c r="F115" s="80" t="s">
        <v>35</v>
      </c>
      <c r="G115" s="128">
        <v>41113</v>
      </c>
      <c r="H115" s="72">
        <v>380.40390000000002</v>
      </c>
      <c r="I115" s="73">
        <f>5782*2</f>
        <v>11564</v>
      </c>
      <c r="J115" s="74"/>
      <c r="K115" s="73">
        <f>+H115*60</f>
        <v>22824.234</v>
      </c>
      <c r="L115" s="73">
        <f>+H115*26*0.42</f>
        <v>4154.0105880000001</v>
      </c>
      <c r="M115" s="73">
        <v>0</v>
      </c>
      <c r="N115" s="74"/>
      <c r="O115" s="72">
        <f>482*2</f>
        <v>964</v>
      </c>
      <c r="P115" s="74"/>
      <c r="Q115" s="76">
        <f>+I115-O115</f>
        <v>10600</v>
      </c>
      <c r="R115" s="104">
        <f>+Q115/2</f>
        <v>5300</v>
      </c>
      <c r="S115" s="147"/>
    </row>
    <row r="116" spans="1:19" s="25" customFormat="1" ht="39.9" customHeight="1" x14ac:dyDescent="0.3">
      <c r="A116" s="26">
        <v>187</v>
      </c>
      <c r="B116" s="66" t="s">
        <v>113</v>
      </c>
      <c r="C116" s="101" t="s">
        <v>249</v>
      </c>
      <c r="D116" s="101" t="s">
        <v>250</v>
      </c>
      <c r="E116" s="66" t="s">
        <v>76</v>
      </c>
      <c r="F116" s="77" t="s">
        <v>17</v>
      </c>
      <c r="G116" s="128">
        <v>45536</v>
      </c>
      <c r="H116" s="61">
        <v>286.58</v>
      </c>
      <c r="I116" s="53">
        <v>8716.7800000000007</v>
      </c>
      <c r="J116" s="62"/>
      <c r="K116" s="63">
        <f>+H116*45</f>
        <v>12896.099999999999</v>
      </c>
      <c r="L116" s="63">
        <f>+H116*20*0.25</f>
        <v>1432.8999999999999</v>
      </c>
      <c r="M116" s="61">
        <v>0</v>
      </c>
      <c r="N116" s="62"/>
      <c r="O116" s="61">
        <f>120.39*2</f>
        <v>240.78</v>
      </c>
      <c r="P116" s="62"/>
      <c r="Q116" s="64">
        <f>+I116+M116-O116</f>
        <v>8476</v>
      </c>
      <c r="R116" s="104">
        <f>+Q116/2</f>
        <v>4238</v>
      </c>
      <c r="S116" s="147"/>
    </row>
    <row r="117" spans="1:19" s="25" customFormat="1" ht="39.9" customHeight="1" x14ac:dyDescent="0.3">
      <c r="A117" s="26">
        <v>188</v>
      </c>
      <c r="B117" s="66" t="s">
        <v>167</v>
      </c>
      <c r="C117" s="101" t="s">
        <v>251</v>
      </c>
      <c r="D117" s="101" t="s">
        <v>252</v>
      </c>
      <c r="E117" s="66" t="s">
        <v>153</v>
      </c>
      <c r="F117" s="77" t="s">
        <v>17</v>
      </c>
      <c r="G117" s="128">
        <v>45536</v>
      </c>
      <c r="H117" s="72">
        <v>357.39</v>
      </c>
      <c r="I117" s="73">
        <f>5432*2</f>
        <v>10864</v>
      </c>
      <c r="J117" s="74"/>
      <c r="K117" s="73">
        <f>+H117*45</f>
        <v>16082.55</v>
      </c>
      <c r="L117" s="73">
        <f>+H117*20*0.25</f>
        <v>1786.9499999999998</v>
      </c>
      <c r="M117" s="73">
        <v>0</v>
      </c>
      <c r="N117" s="74"/>
      <c r="O117" s="72">
        <f>432*2</f>
        <v>864</v>
      </c>
      <c r="P117" s="74"/>
      <c r="Q117" s="76">
        <f>+I117-O117</f>
        <v>10000</v>
      </c>
      <c r="R117" s="104">
        <f>+Q117/2</f>
        <v>5000</v>
      </c>
      <c r="S117" s="147"/>
    </row>
    <row r="118" spans="1:19" s="25" customFormat="1" ht="39.9" customHeight="1" x14ac:dyDescent="0.3">
      <c r="A118" s="26">
        <v>122</v>
      </c>
      <c r="B118" s="66" t="s">
        <v>112</v>
      </c>
      <c r="C118" s="101" t="s">
        <v>253</v>
      </c>
      <c r="D118" s="101" t="s">
        <v>254</v>
      </c>
      <c r="E118" s="66" t="s">
        <v>87</v>
      </c>
      <c r="F118" s="77" t="s">
        <v>17</v>
      </c>
      <c r="G118" s="128">
        <v>44440</v>
      </c>
      <c r="H118" s="61">
        <v>286.58</v>
      </c>
      <c r="I118" s="53">
        <v>8716.7800000000007</v>
      </c>
      <c r="J118" s="62"/>
      <c r="K118" s="63">
        <f>+H118*45</f>
        <v>12896.099999999999</v>
      </c>
      <c r="L118" s="63">
        <f>+H118*20*0.25</f>
        <v>1432.8999999999999</v>
      </c>
      <c r="M118" s="61">
        <v>0</v>
      </c>
      <c r="N118" s="62"/>
      <c r="O118" s="61">
        <f>120.39*2</f>
        <v>240.78</v>
      </c>
      <c r="P118" s="62"/>
      <c r="Q118" s="64">
        <f>+I118+M118-O118</f>
        <v>8476</v>
      </c>
      <c r="R118" s="104">
        <f>+Q118/2</f>
        <v>4238</v>
      </c>
      <c r="S118" s="147"/>
    </row>
    <row r="119" spans="1:19" s="6" customFormat="1" ht="30" customHeight="1" thickBot="1" x14ac:dyDescent="0.35">
      <c r="A119" s="7"/>
      <c r="B119" s="56" t="s">
        <v>19</v>
      </c>
      <c r="C119" s="56"/>
      <c r="D119" s="56"/>
      <c r="E119" s="57"/>
      <c r="F119" s="4"/>
      <c r="G119" s="7"/>
      <c r="H119" s="4"/>
      <c r="I119" s="4"/>
      <c r="J119" s="4"/>
      <c r="K119" s="4"/>
      <c r="L119" s="4"/>
      <c r="M119" s="13"/>
      <c r="N119" s="13"/>
      <c r="O119" s="13"/>
      <c r="P119" s="13"/>
      <c r="Q119" s="13"/>
      <c r="R119" s="153"/>
      <c r="S119" s="38"/>
    </row>
    <row r="120" spans="1:19" s="6" customFormat="1" ht="30" customHeight="1" thickBot="1" x14ac:dyDescent="0.35">
      <c r="A120" s="7"/>
      <c r="B120" s="56" t="s">
        <v>20</v>
      </c>
      <c r="C120" s="56"/>
      <c r="D120" s="56"/>
      <c r="E120" s="57"/>
      <c r="F120" s="243" t="s">
        <v>18</v>
      </c>
      <c r="G120" s="244"/>
      <c r="H120" s="244"/>
      <c r="I120" s="17">
        <f t="shared" ref="I120:R120" si="21">SUM(I114:I118)</f>
        <v>57355.56</v>
      </c>
      <c r="J120" s="17">
        <f t="shared" si="21"/>
        <v>0</v>
      </c>
      <c r="K120" s="17">
        <f t="shared" si="21"/>
        <v>90593.549999999988</v>
      </c>
      <c r="L120" s="17">
        <f t="shared" si="21"/>
        <v>11683.934587999998</v>
      </c>
      <c r="M120" s="17">
        <f t="shared" si="21"/>
        <v>0</v>
      </c>
      <c r="N120" s="17">
        <f t="shared" si="21"/>
        <v>0</v>
      </c>
      <c r="O120" s="17">
        <f t="shared" si="21"/>
        <v>4377.5600000000004</v>
      </c>
      <c r="P120" s="17">
        <f t="shared" si="21"/>
        <v>0</v>
      </c>
      <c r="Q120" s="17">
        <f t="shared" si="21"/>
        <v>52978</v>
      </c>
      <c r="R120" s="17">
        <f t="shared" si="21"/>
        <v>26489</v>
      </c>
      <c r="S120" s="164"/>
    </row>
    <row r="121" spans="1:19" ht="30" customHeight="1" thickBot="1" x14ac:dyDescent="0.35">
      <c r="A121" s="9"/>
      <c r="B121" s="56" t="s">
        <v>21</v>
      </c>
      <c r="C121" s="56"/>
      <c r="D121" s="56"/>
      <c r="E121" s="56"/>
      <c r="F121" s="231" t="s">
        <v>484</v>
      </c>
      <c r="G121" s="232"/>
      <c r="H121" s="232"/>
      <c r="I121" s="207">
        <f>+I120*12</f>
        <v>688266.72</v>
      </c>
      <c r="J121" s="205">
        <f t="shared" ref="J121:R121" si="22">+J120*12</f>
        <v>0</v>
      </c>
      <c r="K121" s="207">
        <f>+K120</f>
        <v>90593.549999999988</v>
      </c>
      <c r="L121" s="205">
        <f>+L120</f>
        <v>11683.934587999998</v>
      </c>
      <c r="M121" s="207">
        <f t="shared" si="22"/>
        <v>0</v>
      </c>
      <c r="N121" s="205">
        <f t="shared" si="22"/>
        <v>0</v>
      </c>
      <c r="O121" s="207">
        <f t="shared" si="22"/>
        <v>52530.720000000001</v>
      </c>
      <c r="P121" s="205">
        <f t="shared" si="22"/>
        <v>0</v>
      </c>
      <c r="Q121" s="207">
        <f t="shared" si="22"/>
        <v>635736</v>
      </c>
      <c r="R121" s="206">
        <f t="shared" si="22"/>
        <v>317868</v>
      </c>
      <c r="S121" s="38"/>
    </row>
    <row r="122" spans="1:19" ht="30" customHeight="1" x14ac:dyDescent="0.3">
      <c r="A122" s="9"/>
      <c r="B122" s="56" t="s">
        <v>22</v>
      </c>
      <c r="C122" s="56"/>
      <c r="D122" s="56"/>
      <c r="E122" s="56"/>
      <c r="F122" s="59"/>
      <c r="G122" s="10"/>
      <c r="H122" s="59"/>
      <c r="I122" s="60"/>
      <c r="J122" s="60"/>
      <c r="K122" s="60"/>
      <c r="L122" s="60"/>
      <c r="M122" s="60"/>
      <c r="N122" s="60"/>
      <c r="O122" s="60"/>
      <c r="P122" s="60"/>
      <c r="Q122" s="60"/>
      <c r="R122" s="153"/>
      <c r="S122" s="38"/>
    </row>
    <row r="123" spans="1:19" ht="30" customHeight="1" x14ac:dyDescent="0.3">
      <c r="A123" s="9"/>
      <c r="B123" s="56" t="s">
        <v>23</v>
      </c>
      <c r="C123" s="56"/>
      <c r="D123" s="56"/>
      <c r="E123" s="56"/>
      <c r="F123" s="59"/>
      <c r="G123" s="10"/>
      <c r="H123" s="59"/>
      <c r="I123" s="60"/>
      <c r="J123" s="60"/>
      <c r="K123" s="60"/>
      <c r="L123" s="60"/>
      <c r="M123" s="60"/>
      <c r="N123" s="60"/>
      <c r="O123" s="60"/>
      <c r="P123" s="60"/>
      <c r="Q123" s="60"/>
      <c r="R123" s="153"/>
      <c r="S123" s="38"/>
    </row>
    <row r="124" spans="1:19" ht="30" customHeight="1" x14ac:dyDescent="0.3">
      <c r="A124" s="9"/>
      <c r="B124" s="56"/>
      <c r="C124" s="56"/>
      <c r="D124" s="56"/>
      <c r="E124" s="56"/>
      <c r="F124" s="59"/>
      <c r="G124" s="10"/>
      <c r="H124" s="59"/>
      <c r="I124" s="60"/>
      <c r="J124" s="60"/>
      <c r="K124" s="60"/>
      <c r="L124" s="60"/>
      <c r="M124" s="60"/>
      <c r="N124" s="60"/>
      <c r="O124" s="60"/>
      <c r="P124" s="60"/>
      <c r="Q124" s="60"/>
      <c r="R124" s="153"/>
      <c r="S124" s="38"/>
    </row>
    <row r="125" spans="1:19" s="12" customFormat="1" ht="30" customHeight="1" x14ac:dyDescent="0.3">
      <c r="A125" s="256" t="s">
        <v>32</v>
      </c>
      <c r="B125" s="256"/>
      <c r="C125" s="256"/>
      <c r="D125" s="256"/>
      <c r="E125" s="256"/>
      <c r="F125" s="256"/>
      <c r="G125" s="256"/>
      <c r="H125" s="256"/>
      <c r="I125" s="256"/>
      <c r="J125" s="256"/>
      <c r="K125" s="256"/>
      <c r="L125" s="256"/>
      <c r="M125" s="256"/>
      <c r="N125" s="256"/>
      <c r="O125" s="256"/>
      <c r="P125" s="256"/>
      <c r="Q125" s="256"/>
      <c r="R125" s="153"/>
      <c r="S125" s="38"/>
    </row>
    <row r="126" spans="1:19" s="12" customFormat="1" ht="30" customHeight="1" x14ac:dyDescent="0.3">
      <c r="A126" s="235" t="s">
        <v>0</v>
      </c>
      <c r="B126" s="235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5"/>
      <c r="N126" s="235"/>
      <c r="O126" s="235"/>
      <c r="P126" s="235"/>
      <c r="Q126" s="235"/>
      <c r="R126" s="153"/>
      <c r="S126" s="38"/>
    </row>
    <row r="127" spans="1:19" s="12" customFormat="1" ht="30" customHeight="1" thickBot="1" x14ac:dyDescent="0.35">
      <c r="A127" s="235" t="s">
        <v>210</v>
      </c>
      <c r="B127" s="235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5"/>
      <c r="N127" s="235"/>
      <c r="O127" s="235"/>
      <c r="P127" s="235"/>
      <c r="Q127" s="235"/>
      <c r="R127" s="153"/>
      <c r="S127" s="38"/>
    </row>
    <row r="128" spans="1:19" s="5" customFormat="1" ht="24.9" customHeight="1" x14ac:dyDescent="0.3">
      <c r="A128" s="115"/>
      <c r="B128" s="267" t="s">
        <v>29</v>
      </c>
      <c r="C128" s="264"/>
      <c r="D128" s="264"/>
      <c r="E128" s="264"/>
      <c r="F128" s="264"/>
      <c r="G128" s="264"/>
      <c r="H128" s="264"/>
      <c r="I128" s="264"/>
      <c r="J128" s="264"/>
      <c r="K128" s="264"/>
      <c r="L128" s="264"/>
      <c r="M128" s="264"/>
      <c r="N128" s="264"/>
      <c r="O128" s="264"/>
      <c r="P128" s="264"/>
      <c r="Q128" s="264"/>
      <c r="R128" s="264"/>
      <c r="S128" s="162"/>
    </row>
    <row r="129" spans="1:19" s="5" customFormat="1" ht="24.9" customHeight="1" thickBot="1" x14ac:dyDescent="0.35">
      <c r="A129" s="116"/>
      <c r="B129" s="269"/>
      <c r="C129" s="265"/>
      <c r="D129" s="265"/>
      <c r="E129" s="265"/>
      <c r="F129" s="265"/>
      <c r="G129" s="265"/>
      <c r="H129" s="265"/>
      <c r="I129" s="265"/>
      <c r="J129" s="265"/>
      <c r="K129" s="265"/>
      <c r="L129" s="265"/>
      <c r="M129" s="265"/>
      <c r="N129" s="265"/>
      <c r="O129" s="265"/>
      <c r="P129" s="265"/>
      <c r="Q129" s="265"/>
      <c r="R129" s="265"/>
      <c r="S129" s="162"/>
    </row>
    <row r="130" spans="1:19" s="25" customFormat="1" ht="27.9" customHeight="1" x14ac:dyDescent="0.3">
      <c r="A130" s="236"/>
      <c r="B130" s="258" t="s">
        <v>2</v>
      </c>
      <c r="C130" s="245" t="s">
        <v>188</v>
      </c>
      <c r="D130" s="245" t="s">
        <v>189</v>
      </c>
      <c r="E130" s="258" t="s">
        <v>3</v>
      </c>
      <c r="F130" s="261" t="s">
        <v>4</v>
      </c>
      <c r="G130" s="263" t="s">
        <v>5</v>
      </c>
      <c r="H130" s="261" t="s">
        <v>6</v>
      </c>
      <c r="I130" s="261" t="s">
        <v>7</v>
      </c>
      <c r="J130" s="261" t="s">
        <v>8</v>
      </c>
      <c r="K130" s="261" t="s">
        <v>9</v>
      </c>
      <c r="L130" s="261" t="s">
        <v>10</v>
      </c>
      <c r="M130" s="261" t="s">
        <v>11</v>
      </c>
      <c r="N130" s="261" t="s">
        <v>12</v>
      </c>
      <c r="O130" s="261" t="s">
        <v>13</v>
      </c>
      <c r="P130" s="261" t="s">
        <v>14</v>
      </c>
      <c r="Q130" s="266" t="s">
        <v>15</v>
      </c>
      <c r="R130" s="302" t="s">
        <v>149</v>
      </c>
      <c r="S130" s="162"/>
    </row>
    <row r="131" spans="1:19" s="25" customFormat="1" ht="27.9" customHeight="1" thickBot="1" x14ac:dyDescent="0.35">
      <c r="A131" s="237"/>
      <c r="B131" s="271"/>
      <c r="C131" s="246"/>
      <c r="D131" s="246"/>
      <c r="E131" s="249"/>
      <c r="F131" s="239"/>
      <c r="G131" s="251"/>
      <c r="H131" s="239"/>
      <c r="I131" s="239"/>
      <c r="J131" s="239"/>
      <c r="K131" s="239"/>
      <c r="L131" s="239"/>
      <c r="M131" s="239"/>
      <c r="N131" s="240"/>
      <c r="O131" s="240"/>
      <c r="P131" s="239"/>
      <c r="Q131" s="242"/>
      <c r="R131" s="302"/>
      <c r="S131" s="162"/>
    </row>
    <row r="132" spans="1:19" s="163" customFormat="1" ht="39.9" customHeight="1" x14ac:dyDescent="0.3">
      <c r="A132" s="182">
        <v>3</v>
      </c>
      <c r="B132" s="133" t="s">
        <v>41</v>
      </c>
      <c r="C132" s="101" t="s">
        <v>255</v>
      </c>
      <c r="D132" s="101" t="s">
        <v>256</v>
      </c>
      <c r="E132" s="132" t="s">
        <v>43</v>
      </c>
      <c r="F132" s="148" t="s">
        <v>35</v>
      </c>
      <c r="G132" s="131">
        <v>43344</v>
      </c>
      <c r="H132" s="61">
        <v>286.58</v>
      </c>
      <c r="I132" s="53">
        <v>8716.7800000000007</v>
      </c>
      <c r="J132" s="62"/>
      <c r="K132" s="63">
        <f>+H132*65</f>
        <v>18627.7</v>
      </c>
      <c r="L132" s="63">
        <f>+H132*26*0.42</f>
        <v>3129.4535999999998</v>
      </c>
      <c r="M132" s="61">
        <v>0</v>
      </c>
      <c r="N132" s="62"/>
      <c r="O132" s="61">
        <f>120.39*2</f>
        <v>240.78</v>
      </c>
      <c r="P132" s="62"/>
      <c r="Q132" s="180">
        <f t="shared" ref="Q132:Q137" si="23">+I132+M132-O132</f>
        <v>8476</v>
      </c>
      <c r="R132" s="104">
        <f t="shared" ref="R132:R137" si="24">+Q132/2</f>
        <v>4238</v>
      </c>
      <c r="S132" s="147"/>
    </row>
    <row r="133" spans="1:19" s="166" customFormat="1" ht="39.9" customHeight="1" x14ac:dyDescent="0.3">
      <c r="A133" s="181">
        <v>15</v>
      </c>
      <c r="B133" s="142" t="s">
        <v>42</v>
      </c>
      <c r="C133" s="101" t="s">
        <v>257</v>
      </c>
      <c r="D133" s="101" t="s">
        <v>258</v>
      </c>
      <c r="E133" s="127" t="s">
        <v>268</v>
      </c>
      <c r="F133" s="143" t="s">
        <v>35</v>
      </c>
      <c r="G133" s="131">
        <v>33984</v>
      </c>
      <c r="H133" s="61">
        <v>286.58</v>
      </c>
      <c r="I133" s="53">
        <v>8716.7800000000007</v>
      </c>
      <c r="J133" s="62"/>
      <c r="K133" s="63">
        <f>+H133*65</f>
        <v>18627.7</v>
      </c>
      <c r="L133" s="63">
        <f>+H133*26*0.42</f>
        <v>3129.4535999999998</v>
      </c>
      <c r="M133" s="61">
        <v>0</v>
      </c>
      <c r="N133" s="62"/>
      <c r="O133" s="61">
        <f>120.39*2</f>
        <v>240.78</v>
      </c>
      <c r="P133" s="62"/>
      <c r="Q133" s="180">
        <f t="shared" si="23"/>
        <v>8476</v>
      </c>
      <c r="R133" s="104">
        <f t="shared" si="24"/>
        <v>4238</v>
      </c>
      <c r="S133" s="147"/>
    </row>
    <row r="134" spans="1:19" s="25" customFormat="1" ht="39.9" customHeight="1" x14ac:dyDescent="0.3">
      <c r="A134" s="140">
        <v>191</v>
      </c>
      <c r="B134" s="66" t="s">
        <v>147</v>
      </c>
      <c r="C134" s="101" t="s">
        <v>259</v>
      </c>
      <c r="D134" s="101" t="s">
        <v>260</v>
      </c>
      <c r="E134" s="127" t="s">
        <v>269</v>
      </c>
      <c r="F134" s="77" t="s">
        <v>17</v>
      </c>
      <c r="G134" s="131">
        <v>45536</v>
      </c>
      <c r="H134" s="61">
        <v>286.58</v>
      </c>
      <c r="I134" s="53">
        <v>8716.7800000000007</v>
      </c>
      <c r="J134" s="62"/>
      <c r="K134" s="63">
        <f>+H134*45</f>
        <v>12896.099999999999</v>
      </c>
      <c r="L134" s="63">
        <f>+H134*20*0.25</f>
        <v>1432.8999999999999</v>
      </c>
      <c r="M134" s="61">
        <v>0</v>
      </c>
      <c r="N134" s="62"/>
      <c r="O134" s="61">
        <f>120.39*2</f>
        <v>240.78</v>
      </c>
      <c r="P134" s="62"/>
      <c r="Q134" s="64">
        <f t="shared" si="23"/>
        <v>8476</v>
      </c>
      <c r="R134" s="104">
        <f t="shared" si="24"/>
        <v>4238</v>
      </c>
      <c r="S134" s="147"/>
    </row>
    <row r="135" spans="1:19" s="25" customFormat="1" ht="39.9" customHeight="1" x14ac:dyDescent="0.3">
      <c r="A135" s="140">
        <v>192</v>
      </c>
      <c r="B135" s="66" t="s">
        <v>116</v>
      </c>
      <c r="C135" s="101" t="s">
        <v>261</v>
      </c>
      <c r="D135" s="101" t="s">
        <v>262</v>
      </c>
      <c r="E135" s="127" t="s">
        <v>269</v>
      </c>
      <c r="F135" s="77" t="s">
        <v>17</v>
      </c>
      <c r="G135" s="131">
        <v>45536</v>
      </c>
      <c r="H135" s="61">
        <v>286.58</v>
      </c>
      <c r="I135" s="53">
        <v>8716.7800000000007</v>
      </c>
      <c r="J135" s="62"/>
      <c r="K135" s="63">
        <f>+H135*45</f>
        <v>12896.099999999999</v>
      </c>
      <c r="L135" s="63">
        <f>+H135*20*0.25</f>
        <v>1432.8999999999999</v>
      </c>
      <c r="M135" s="61">
        <v>0</v>
      </c>
      <c r="N135" s="62"/>
      <c r="O135" s="61">
        <f>120.39*2</f>
        <v>240.78</v>
      </c>
      <c r="P135" s="62"/>
      <c r="Q135" s="64">
        <f t="shared" si="23"/>
        <v>8476</v>
      </c>
      <c r="R135" s="104">
        <f t="shared" si="24"/>
        <v>4238</v>
      </c>
      <c r="S135" s="147"/>
    </row>
    <row r="136" spans="1:19" s="25" customFormat="1" ht="39.9" customHeight="1" x14ac:dyDescent="0.3">
      <c r="A136" s="140">
        <v>193</v>
      </c>
      <c r="B136" s="66" t="s">
        <v>117</v>
      </c>
      <c r="C136" s="101" t="s">
        <v>263</v>
      </c>
      <c r="D136" s="101" t="s">
        <v>264</v>
      </c>
      <c r="E136" s="127" t="s">
        <v>269</v>
      </c>
      <c r="F136" s="77" t="s">
        <v>17</v>
      </c>
      <c r="G136" s="131">
        <v>45536</v>
      </c>
      <c r="H136" s="61">
        <v>286.58</v>
      </c>
      <c r="I136" s="53">
        <v>8716.7800000000007</v>
      </c>
      <c r="J136" s="62"/>
      <c r="K136" s="63">
        <f>+H136*45</f>
        <v>12896.099999999999</v>
      </c>
      <c r="L136" s="63">
        <f>+H136*20*0.25</f>
        <v>1432.8999999999999</v>
      </c>
      <c r="M136" s="61">
        <v>0</v>
      </c>
      <c r="N136" s="62"/>
      <c r="O136" s="61">
        <f>120.39*2</f>
        <v>240.78</v>
      </c>
      <c r="P136" s="62"/>
      <c r="Q136" s="64">
        <f t="shared" si="23"/>
        <v>8476</v>
      </c>
      <c r="R136" s="104">
        <f t="shared" si="24"/>
        <v>4238</v>
      </c>
      <c r="S136" s="147"/>
    </row>
    <row r="137" spans="1:19" s="25" customFormat="1" ht="39.9" customHeight="1" x14ac:dyDescent="0.3">
      <c r="A137" s="140">
        <v>194</v>
      </c>
      <c r="B137" s="66" t="s">
        <v>114</v>
      </c>
      <c r="C137" s="101" t="s">
        <v>265</v>
      </c>
      <c r="D137" s="101" t="s">
        <v>266</v>
      </c>
      <c r="E137" s="127" t="s">
        <v>30</v>
      </c>
      <c r="F137" s="77" t="s">
        <v>16</v>
      </c>
      <c r="G137" s="131">
        <v>45536</v>
      </c>
      <c r="H137" s="63">
        <v>357.39</v>
      </c>
      <c r="I137" s="63">
        <f>5432*2</f>
        <v>10864</v>
      </c>
      <c r="J137" s="62"/>
      <c r="K137" s="63">
        <f>+H137*45</f>
        <v>16082.55</v>
      </c>
      <c r="L137" s="63">
        <f>+H137*20*0.25</f>
        <v>1786.9499999999998</v>
      </c>
      <c r="M137" s="63">
        <v>0</v>
      </c>
      <c r="N137" s="78"/>
      <c r="O137" s="61">
        <f>432*2</f>
        <v>864</v>
      </c>
      <c r="P137" s="62"/>
      <c r="Q137" s="64">
        <f t="shared" si="23"/>
        <v>10000</v>
      </c>
      <c r="R137" s="104">
        <f t="shared" si="24"/>
        <v>5000</v>
      </c>
      <c r="S137" s="147"/>
    </row>
    <row r="138" spans="1:19" s="6" customFormat="1" ht="30" customHeight="1" thickBot="1" x14ac:dyDescent="0.35">
      <c r="A138" s="113"/>
      <c r="B138" s="56" t="s">
        <v>19</v>
      </c>
      <c r="C138" s="56"/>
      <c r="D138" s="56"/>
      <c r="E138" s="56"/>
      <c r="F138" s="82"/>
      <c r="G138" s="113"/>
      <c r="H138" s="83"/>
      <c r="I138" s="83"/>
      <c r="J138" s="83"/>
      <c r="K138" s="83"/>
      <c r="L138" s="83"/>
      <c r="M138" s="84"/>
      <c r="N138" s="84"/>
      <c r="O138" s="84"/>
      <c r="P138" s="84"/>
      <c r="Q138" s="84"/>
      <c r="R138" s="153"/>
      <c r="S138" s="38"/>
    </row>
    <row r="139" spans="1:19" s="6" customFormat="1" ht="30" customHeight="1" thickBot="1" x14ac:dyDescent="0.35">
      <c r="A139" s="113"/>
      <c r="B139" s="56" t="s">
        <v>20</v>
      </c>
      <c r="C139" s="56"/>
      <c r="D139" s="56"/>
      <c r="E139" s="57"/>
      <c r="F139" s="243" t="s">
        <v>18</v>
      </c>
      <c r="G139" s="244"/>
      <c r="H139" s="276"/>
      <c r="I139" s="195">
        <f>SUM(I132:I137)</f>
        <v>54447.9</v>
      </c>
      <c r="J139" s="193">
        <f t="shared" ref="J139:R139" si="25">SUM(J132:J137)</f>
        <v>0</v>
      </c>
      <c r="K139" s="195">
        <f t="shared" si="25"/>
        <v>92026.25</v>
      </c>
      <c r="L139" s="193">
        <f t="shared" si="25"/>
        <v>12344.557199999999</v>
      </c>
      <c r="M139" s="195">
        <f t="shared" si="25"/>
        <v>0</v>
      </c>
      <c r="N139" s="193">
        <f t="shared" si="25"/>
        <v>0</v>
      </c>
      <c r="O139" s="195">
        <f t="shared" si="25"/>
        <v>2067.9</v>
      </c>
      <c r="P139" s="193">
        <f t="shared" si="25"/>
        <v>0</v>
      </c>
      <c r="Q139" s="195">
        <f t="shared" si="25"/>
        <v>52380</v>
      </c>
      <c r="R139" s="194">
        <f t="shared" si="25"/>
        <v>26190</v>
      </c>
      <c r="S139" s="164"/>
    </row>
    <row r="140" spans="1:19" ht="30" customHeight="1" thickBot="1" x14ac:dyDescent="0.35">
      <c r="A140" s="9"/>
      <c r="B140" s="56" t="s">
        <v>21</v>
      </c>
      <c r="C140" s="56"/>
      <c r="D140" s="56"/>
      <c r="E140" s="56"/>
      <c r="F140" s="231" t="s">
        <v>484</v>
      </c>
      <c r="G140" s="232"/>
      <c r="H140" s="232"/>
      <c r="I140" s="217">
        <f>+I139*12</f>
        <v>653374.80000000005</v>
      </c>
      <c r="J140" s="215">
        <f t="shared" ref="J140:R140" si="26">+J139*12</f>
        <v>0</v>
      </c>
      <c r="K140" s="217">
        <f>+K139</f>
        <v>92026.25</v>
      </c>
      <c r="L140" s="215">
        <f>+L139</f>
        <v>12344.557199999999</v>
      </c>
      <c r="M140" s="217">
        <f t="shared" si="26"/>
        <v>0</v>
      </c>
      <c r="N140" s="215">
        <f t="shared" si="26"/>
        <v>0</v>
      </c>
      <c r="O140" s="217">
        <f t="shared" si="26"/>
        <v>24814.800000000003</v>
      </c>
      <c r="P140" s="215">
        <f t="shared" si="26"/>
        <v>0</v>
      </c>
      <c r="Q140" s="217">
        <f t="shared" si="26"/>
        <v>628560</v>
      </c>
      <c r="R140" s="216">
        <f t="shared" si="26"/>
        <v>314280</v>
      </c>
      <c r="S140" s="38"/>
    </row>
    <row r="141" spans="1:19" ht="30" customHeight="1" x14ac:dyDescent="0.3">
      <c r="A141" s="9"/>
      <c r="B141" s="56" t="s">
        <v>22</v>
      </c>
      <c r="C141" s="56"/>
      <c r="D141" s="56"/>
      <c r="E141" s="56"/>
      <c r="F141" s="59"/>
      <c r="G141" s="10"/>
      <c r="H141" s="59"/>
      <c r="I141" s="60"/>
      <c r="J141" s="60"/>
      <c r="K141" s="60"/>
      <c r="L141" s="60"/>
      <c r="M141" s="60"/>
      <c r="N141" s="60"/>
      <c r="O141" s="60"/>
      <c r="P141" s="60"/>
      <c r="Q141" s="60"/>
      <c r="R141" s="153"/>
      <c r="S141" s="38"/>
    </row>
    <row r="142" spans="1:19" ht="30" customHeight="1" x14ac:dyDescent="0.3">
      <c r="A142" s="9"/>
      <c r="B142" s="56" t="s">
        <v>23</v>
      </c>
      <c r="C142" s="56"/>
      <c r="D142" s="56"/>
      <c r="E142" s="56"/>
      <c r="F142" s="59"/>
      <c r="G142" s="10"/>
      <c r="H142" s="59"/>
      <c r="I142" s="60"/>
      <c r="J142" s="60"/>
      <c r="K142" s="60"/>
      <c r="L142" s="60"/>
      <c r="M142" s="60"/>
      <c r="N142" s="60"/>
      <c r="O142" s="60"/>
      <c r="P142" s="60"/>
      <c r="Q142" s="60"/>
      <c r="R142" s="153"/>
      <c r="S142" s="38"/>
    </row>
    <row r="143" spans="1:19" ht="30" customHeight="1" x14ac:dyDescent="0.3">
      <c r="A143" s="9"/>
      <c r="B143" s="56"/>
      <c r="C143" s="56"/>
      <c r="D143" s="56"/>
      <c r="E143" s="56"/>
      <c r="F143" s="59"/>
      <c r="G143" s="10"/>
      <c r="H143" s="59"/>
      <c r="I143" s="60"/>
      <c r="J143" s="60"/>
      <c r="K143" s="60"/>
      <c r="L143" s="60"/>
      <c r="M143" s="60"/>
      <c r="N143" s="60"/>
      <c r="O143" s="60"/>
      <c r="P143" s="60"/>
      <c r="Q143" s="60"/>
      <c r="R143" s="153"/>
      <c r="S143" s="38"/>
    </row>
    <row r="144" spans="1:19" ht="30" customHeight="1" x14ac:dyDescent="0.3">
      <c r="A144" s="9"/>
      <c r="B144" s="56"/>
      <c r="C144" s="56"/>
      <c r="D144" s="56"/>
      <c r="E144" s="56"/>
      <c r="F144" s="59"/>
      <c r="G144" s="10"/>
      <c r="H144" s="59"/>
      <c r="I144" s="60"/>
      <c r="J144" s="60"/>
      <c r="K144" s="60"/>
      <c r="L144" s="60"/>
      <c r="M144" s="60"/>
      <c r="N144" s="60"/>
      <c r="O144" s="60"/>
      <c r="P144" s="60"/>
      <c r="Q144" s="60"/>
      <c r="R144" s="153"/>
      <c r="S144" s="38"/>
    </row>
    <row r="145" spans="1:19" s="18" customFormat="1" ht="28.5" customHeight="1" x14ac:dyDescent="0.3">
      <c r="A145" s="256" t="s">
        <v>32</v>
      </c>
      <c r="B145" s="256"/>
      <c r="C145" s="256"/>
      <c r="D145" s="256"/>
      <c r="E145" s="256"/>
      <c r="F145" s="256"/>
      <c r="G145" s="256"/>
      <c r="H145" s="256"/>
      <c r="I145" s="256"/>
      <c r="J145" s="256"/>
      <c r="K145" s="256"/>
      <c r="L145" s="256"/>
      <c r="M145" s="256"/>
      <c r="N145" s="256"/>
      <c r="O145" s="256"/>
      <c r="P145" s="256"/>
      <c r="Q145" s="256"/>
      <c r="R145" s="153"/>
      <c r="S145" s="38"/>
    </row>
    <row r="146" spans="1:19" s="18" customFormat="1" ht="28.5" customHeight="1" x14ac:dyDescent="0.3">
      <c r="A146" s="235" t="s">
        <v>0</v>
      </c>
      <c r="B146" s="235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153"/>
      <c r="S146" s="38"/>
    </row>
    <row r="147" spans="1:19" ht="30" customHeight="1" thickBot="1" x14ac:dyDescent="0.35">
      <c r="A147" s="235" t="s">
        <v>210</v>
      </c>
      <c r="B147" s="235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5"/>
      <c r="N147" s="235"/>
      <c r="O147" s="235"/>
      <c r="P147" s="235"/>
      <c r="Q147" s="235"/>
      <c r="R147" s="153"/>
      <c r="S147" s="38"/>
    </row>
    <row r="148" spans="1:19" s="4" customFormat="1" ht="24.9" customHeight="1" x14ac:dyDescent="0.3">
      <c r="A148" s="115"/>
      <c r="B148" s="267" t="s">
        <v>54</v>
      </c>
      <c r="C148" s="264"/>
      <c r="D148" s="264"/>
      <c r="E148" s="264"/>
      <c r="F148" s="264"/>
      <c r="G148" s="264"/>
      <c r="H148" s="264"/>
      <c r="I148" s="264"/>
      <c r="J148" s="264"/>
      <c r="K148" s="264"/>
      <c r="L148" s="264"/>
      <c r="M148" s="264"/>
      <c r="N148" s="264"/>
      <c r="O148" s="264"/>
      <c r="P148" s="264"/>
      <c r="Q148" s="264"/>
      <c r="R148" s="268"/>
      <c r="S148" s="162"/>
    </row>
    <row r="149" spans="1:19" s="19" customFormat="1" ht="6.75" customHeight="1" thickBot="1" x14ac:dyDescent="0.35">
      <c r="A149" s="116"/>
      <c r="B149" s="269"/>
      <c r="C149" s="265"/>
      <c r="D149" s="265"/>
      <c r="E149" s="265"/>
      <c r="F149" s="265"/>
      <c r="G149" s="265"/>
      <c r="H149" s="265"/>
      <c r="I149" s="265"/>
      <c r="J149" s="265"/>
      <c r="K149" s="265"/>
      <c r="L149" s="265"/>
      <c r="M149" s="265"/>
      <c r="N149" s="265"/>
      <c r="O149" s="265"/>
      <c r="P149" s="265"/>
      <c r="Q149" s="265"/>
      <c r="R149" s="270"/>
      <c r="S149" s="162"/>
    </row>
    <row r="150" spans="1:19" s="7" customFormat="1" ht="27.9" customHeight="1" x14ac:dyDescent="0.3">
      <c r="A150" s="236"/>
      <c r="B150" s="258" t="s">
        <v>2</v>
      </c>
      <c r="C150" s="245" t="s">
        <v>188</v>
      </c>
      <c r="D150" s="245" t="s">
        <v>189</v>
      </c>
      <c r="E150" s="258" t="s">
        <v>3</v>
      </c>
      <c r="F150" s="261" t="s">
        <v>4</v>
      </c>
      <c r="G150" s="263" t="s">
        <v>5</v>
      </c>
      <c r="H150" s="261" t="s">
        <v>6</v>
      </c>
      <c r="I150" s="261" t="s">
        <v>7</v>
      </c>
      <c r="J150" s="261" t="s">
        <v>8</v>
      </c>
      <c r="K150" s="261" t="s">
        <v>9</v>
      </c>
      <c r="L150" s="261" t="s">
        <v>10</v>
      </c>
      <c r="M150" s="261" t="s">
        <v>11</v>
      </c>
      <c r="N150" s="261" t="s">
        <v>12</v>
      </c>
      <c r="O150" s="261" t="s">
        <v>13</v>
      </c>
      <c r="P150" s="261" t="s">
        <v>14</v>
      </c>
      <c r="Q150" s="298" t="s">
        <v>15</v>
      </c>
      <c r="R150" s="302" t="s">
        <v>149</v>
      </c>
      <c r="S150" s="162"/>
    </row>
    <row r="151" spans="1:19" s="7" customFormat="1" ht="14.25" customHeight="1" thickBot="1" x14ac:dyDescent="0.35">
      <c r="A151" s="237"/>
      <c r="B151" s="271"/>
      <c r="C151" s="273"/>
      <c r="D151" s="273"/>
      <c r="E151" s="249"/>
      <c r="F151" s="239"/>
      <c r="G151" s="272"/>
      <c r="H151" s="239"/>
      <c r="I151" s="239"/>
      <c r="J151" s="239"/>
      <c r="K151" s="239"/>
      <c r="L151" s="239"/>
      <c r="M151" s="239"/>
      <c r="N151" s="240"/>
      <c r="O151" s="240"/>
      <c r="P151" s="239"/>
      <c r="Q151" s="299"/>
      <c r="R151" s="302"/>
      <c r="S151" s="162"/>
    </row>
    <row r="152" spans="1:19" s="39" customFormat="1" ht="38.1" customHeight="1" x14ac:dyDescent="0.3">
      <c r="A152" s="218">
        <v>11</v>
      </c>
      <c r="B152" s="150" t="s">
        <v>44</v>
      </c>
      <c r="C152" s="149" t="s">
        <v>402</v>
      </c>
      <c r="D152" s="149" t="s">
        <v>403</v>
      </c>
      <c r="E152" s="150" t="s">
        <v>49</v>
      </c>
      <c r="F152" s="146" t="s">
        <v>35</v>
      </c>
      <c r="G152" s="151">
        <v>33298</v>
      </c>
      <c r="H152" s="61">
        <v>286.58</v>
      </c>
      <c r="I152" s="53">
        <v>8716.7800000000007</v>
      </c>
      <c r="J152" s="62"/>
      <c r="K152" s="63">
        <f t="shared" ref="K152:K167" si="27">+H152*65</f>
        <v>18627.7</v>
      </c>
      <c r="L152" s="63">
        <f t="shared" ref="L152:L167" si="28">+H152*26*0.42</f>
        <v>3129.4535999999998</v>
      </c>
      <c r="M152" s="61">
        <v>0</v>
      </c>
      <c r="N152" s="62"/>
      <c r="O152" s="61">
        <f t="shared" ref="O152:O182" si="29">120.39*2</f>
        <v>240.78</v>
      </c>
      <c r="P152" s="62"/>
      <c r="Q152" s="64">
        <f t="shared" ref="Q152:Q182" si="30">+I152+M152-O152</f>
        <v>8476</v>
      </c>
      <c r="R152" s="96">
        <f t="shared" ref="R152:R182" si="31">+Q152/2</f>
        <v>4238</v>
      </c>
      <c r="S152" s="147"/>
    </row>
    <row r="153" spans="1:19" s="21" customFormat="1" ht="39.9" customHeight="1" x14ac:dyDescent="0.3">
      <c r="A153" s="218">
        <v>2</v>
      </c>
      <c r="B153" s="150" t="s">
        <v>404</v>
      </c>
      <c r="C153" s="149" t="s">
        <v>405</v>
      </c>
      <c r="D153" s="149" t="s">
        <v>406</v>
      </c>
      <c r="E153" s="150" t="s">
        <v>267</v>
      </c>
      <c r="F153" s="146" t="s">
        <v>35</v>
      </c>
      <c r="G153" s="151">
        <v>32874</v>
      </c>
      <c r="H153" s="61">
        <v>286.58</v>
      </c>
      <c r="I153" s="53">
        <v>8716.7800000000007</v>
      </c>
      <c r="J153" s="62"/>
      <c r="K153" s="63">
        <f t="shared" si="27"/>
        <v>18627.7</v>
      </c>
      <c r="L153" s="63">
        <f t="shared" si="28"/>
        <v>3129.4535999999998</v>
      </c>
      <c r="M153" s="61">
        <v>0</v>
      </c>
      <c r="N153" s="62"/>
      <c r="O153" s="61">
        <f t="shared" si="29"/>
        <v>240.78</v>
      </c>
      <c r="P153" s="62"/>
      <c r="Q153" s="64">
        <f t="shared" si="30"/>
        <v>8476</v>
      </c>
      <c r="R153" s="96">
        <f t="shared" si="31"/>
        <v>4238</v>
      </c>
      <c r="S153" s="147"/>
    </row>
    <row r="154" spans="1:19" s="21" customFormat="1" ht="38.1" customHeight="1" x14ac:dyDescent="0.3">
      <c r="A154" s="218">
        <v>4</v>
      </c>
      <c r="B154" s="150" t="s">
        <v>407</v>
      </c>
      <c r="C154" s="149" t="s">
        <v>408</v>
      </c>
      <c r="D154" s="149" t="s">
        <v>409</v>
      </c>
      <c r="E154" s="150" t="s">
        <v>476</v>
      </c>
      <c r="F154" s="146" t="s">
        <v>35</v>
      </c>
      <c r="G154" s="151">
        <v>27030</v>
      </c>
      <c r="H154" s="61">
        <v>286.58</v>
      </c>
      <c r="I154" s="53">
        <v>8716.7800000000007</v>
      </c>
      <c r="J154" s="62"/>
      <c r="K154" s="63">
        <f t="shared" si="27"/>
        <v>18627.7</v>
      </c>
      <c r="L154" s="63">
        <f t="shared" si="28"/>
        <v>3129.4535999999998</v>
      </c>
      <c r="M154" s="61">
        <v>0</v>
      </c>
      <c r="N154" s="62"/>
      <c r="O154" s="61">
        <f t="shared" si="29"/>
        <v>240.78</v>
      </c>
      <c r="P154" s="62"/>
      <c r="Q154" s="64">
        <f t="shared" si="30"/>
        <v>8476</v>
      </c>
      <c r="R154" s="96">
        <f t="shared" si="31"/>
        <v>4238</v>
      </c>
      <c r="S154" s="147"/>
    </row>
    <row r="155" spans="1:19" s="21" customFormat="1" ht="38.1" customHeight="1" x14ac:dyDescent="0.3">
      <c r="A155" s="218">
        <v>5</v>
      </c>
      <c r="B155" s="150" t="s">
        <v>410</v>
      </c>
      <c r="C155" s="149" t="s">
        <v>411</v>
      </c>
      <c r="D155" s="149" t="s">
        <v>412</v>
      </c>
      <c r="E155" s="150" t="s">
        <v>48</v>
      </c>
      <c r="F155" s="146" t="s">
        <v>35</v>
      </c>
      <c r="G155" s="151">
        <v>30697</v>
      </c>
      <c r="H155" s="61">
        <v>286.58</v>
      </c>
      <c r="I155" s="53">
        <v>8716.7800000000007</v>
      </c>
      <c r="J155" s="62"/>
      <c r="K155" s="63">
        <f t="shared" si="27"/>
        <v>18627.7</v>
      </c>
      <c r="L155" s="63">
        <f t="shared" si="28"/>
        <v>3129.4535999999998</v>
      </c>
      <c r="M155" s="61">
        <v>0</v>
      </c>
      <c r="N155" s="62"/>
      <c r="O155" s="61">
        <f t="shared" si="29"/>
        <v>240.78</v>
      </c>
      <c r="P155" s="62"/>
      <c r="Q155" s="64">
        <f t="shared" si="30"/>
        <v>8476</v>
      </c>
      <c r="R155" s="96">
        <f t="shared" si="31"/>
        <v>4238</v>
      </c>
      <c r="S155" s="147"/>
    </row>
    <row r="156" spans="1:19" s="21" customFormat="1" ht="38.1" customHeight="1" x14ac:dyDescent="0.3">
      <c r="A156" s="218">
        <v>6</v>
      </c>
      <c r="B156" s="150" t="s">
        <v>413</v>
      </c>
      <c r="C156" s="149" t="s">
        <v>414</v>
      </c>
      <c r="D156" s="149" t="s">
        <v>415</v>
      </c>
      <c r="E156" s="150" t="s">
        <v>477</v>
      </c>
      <c r="F156" s="146" t="s">
        <v>35</v>
      </c>
      <c r="G156" s="151">
        <v>31048</v>
      </c>
      <c r="H156" s="61">
        <v>286.58</v>
      </c>
      <c r="I156" s="53">
        <v>8716.7800000000007</v>
      </c>
      <c r="J156" s="62"/>
      <c r="K156" s="63">
        <f t="shared" si="27"/>
        <v>18627.7</v>
      </c>
      <c r="L156" s="63">
        <f t="shared" si="28"/>
        <v>3129.4535999999998</v>
      </c>
      <c r="M156" s="61">
        <v>0</v>
      </c>
      <c r="N156" s="62"/>
      <c r="O156" s="61">
        <f t="shared" si="29"/>
        <v>240.78</v>
      </c>
      <c r="P156" s="62"/>
      <c r="Q156" s="64">
        <f t="shared" si="30"/>
        <v>8476</v>
      </c>
      <c r="R156" s="96">
        <f t="shared" si="31"/>
        <v>4238</v>
      </c>
      <c r="S156" s="147"/>
    </row>
    <row r="157" spans="1:19" s="39" customFormat="1" ht="38.1" customHeight="1" x14ac:dyDescent="0.3">
      <c r="A157" s="218">
        <v>7</v>
      </c>
      <c r="B157" s="150" t="s">
        <v>416</v>
      </c>
      <c r="C157" s="149" t="s">
        <v>417</v>
      </c>
      <c r="D157" s="149" t="s">
        <v>418</v>
      </c>
      <c r="E157" s="150" t="s">
        <v>478</v>
      </c>
      <c r="F157" s="146" t="s">
        <v>35</v>
      </c>
      <c r="G157" s="151">
        <v>31413</v>
      </c>
      <c r="H157" s="61">
        <v>286.58</v>
      </c>
      <c r="I157" s="53">
        <v>8716.7800000000007</v>
      </c>
      <c r="J157" s="62"/>
      <c r="K157" s="63">
        <f t="shared" si="27"/>
        <v>18627.7</v>
      </c>
      <c r="L157" s="63">
        <f t="shared" si="28"/>
        <v>3129.4535999999998</v>
      </c>
      <c r="M157" s="61">
        <v>0</v>
      </c>
      <c r="N157" s="62"/>
      <c r="O157" s="61">
        <f t="shared" si="29"/>
        <v>240.78</v>
      </c>
      <c r="P157" s="62"/>
      <c r="Q157" s="64">
        <f t="shared" si="30"/>
        <v>8476</v>
      </c>
      <c r="R157" s="96">
        <f t="shared" si="31"/>
        <v>4238</v>
      </c>
      <c r="S157" s="147"/>
    </row>
    <row r="158" spans="1:19" s="21" customFormat="1" ht="38.1" customHeight="1" x14ac:dyDescent="0.3">
      <c r="A158" s="218">
        <v>8</v>
      </c>
      <c r="B158" s="150" t="s">
        <v>419</v>
      </c>
      <c r="C158" s="149" t="s">
        <v>420</v>
      </c>
      <c r="D158" s="149" t="s">
        <v>421</v>
      </c>
      <c r="E158" s="150" t="s">
        <v>479</v>
      </c>
      <c r="F158" s="146" t="s">
        <v>35</v>
      </c>
      <c r="G158" s="151">
        <v>31786</v>
      </c>
      <c r="H158" s="61">
        <v>286.58</v>
      </c>
      <c r="I158" s="53">
        <v>8716.7800000000007</v>
      </c>
      <c r="J158" s="62"/>
      <c r="K158" s="63">
        <f t="shared" si="27"/>
        <v>18627.7</v>
      </c>
      <c r="L158" s="63">
        <f t="shared" si="28"/>
        <v>3129.4535999999998</v>
      </c>
      <c r="M158" s="61">
        <v>0</v>
      </c>
      <c r="N158" s="62"/>
      <c r="O158" s="61">
        <f t="shared" si="29"/>
        <v>240.78</v>
      </c>
      <c r="P158" s="62"/>
      <c r="Q158" s="64">
        <f t="shared" si="30"/>
        <v>8476</v>
      </c>
      <c r="R158" s="96">
        <f t="shared" si="31"/>
        <v>4238</v>
      </c>
      <c r="S158" s="147"/>
    </row>
    <row r="159" spans="1:19" s="21" customFormat="1" ht="39.9" customHeight="1" x14ac:dyDescent="0.3">
      <c r="A159" s="218">
        <v>13</v>
      </c>
      <c r="B159" s="150" t="s">
        <v>422</v>
      </c>
      <c r="C159" s="149" t="s">
        <v>423</v>
      </c>
      <c r="D159" s="149" t="s">
        <v>424</v>
      </c>
      <c r="E159" s="150" t="s">
        <v>477</v>
      </c>
      <c r="F159" s="146" t="s">
        <v>35</v>
      </c>
      <c r="G159" s="151">
        <v>33970</v>
      </c>
      <c r="H159" s="61">
        <v>286.58</v>
      </c>
      <c r="I159" s="53">
        <v>8716.7800000000007</v>
      </c>
      <c r="J159" s="62"/>
      <c r="K159" s="63">
        <f t="shared" si="27"/>
        <v>18627.7</v>
      </c>
      <c r="L159" s="63">
        <f t="shared" si="28"/>
        <v>3129.4535999999998</v>
      </c>
      <c r="M159" s="61">
        <v>0</v>
      </c>
      <c r="N159" s="62"/>
      <c r="O159" s="61">
        <f t="shared" si="29"/>
        <v>240.78</v>
      </c>
      <c r="P159" s="62"/>
      <c r="Q159" s="64">
        <f t="shared" si="30"/>
        <v>8476</v>
      </c>
      <c r="R159" s="96">
        <f t="shared" si="31"/>
        <v>4238</v>
      </c>
      <c r="S159" s="147"/>
    </row>
    <row r="160" spans="1:19" s="21" customFormat="1" ht="38.1" customHeight="1" x14ac:dyDescent="0.3">
      <c r="A160" s="218">
        <v>14</v>
      </c>
      <c r="B160" s="150" t="s">
        <v>45</v>
      </c>
      <c r="C160" s="149" t="s">
        <v>425</v>
      </c>
      <c r="D160" s="149" t="s">
        <v>426</v>
      </c>
      <c r="E160" s="150" t="s">
        <v>480</v>
      </c>
      <c r="F160" s="146" t="s">
        <v>35</v>
      </c>
      <c r="G160" s="151">
        <v>33970</v>
      </c>
      <c r="H160" s="61">
        <v>286.58</v>
      </c>
      <c r="I160" s="53">
        <v>8716.7800000000007</v>
      </c>
      <c r="J160" s="62"/>
      <c r="K160" s="63">
        <f t="shared" si="27"/>
        <v>18627.7</v>
      </c>
      <c r="L160" s="63">
        <f t="shared" si="28"/>
        <v>3129.4535999999998</v>
      </c>
      <c r="M160" s="61">
        <v>0</v>
      </c>
      <c r="N160" s="62"/>
      <c r="O160" s="61">
        <f t="shared" si="29"/>
        <v>240.78</v>
      </c>
      <c r="P160" s="62"/>
      <c r="Q160" s="64">
        <f t="shared" si="30"/>
        <v>8476</v>
      </c>
      <c r="R160" s="96">
        <f t="shared" si="31"/>
        <v>4238</v>
      </c>
      <c r="S160" s="147"/>
    </row>
    <row r="161" spans="1:19" s="21" customFormat="1" ht="38.1" customHeight="1" x14ac:dyDescent="0.3">
      <c r="A161" s="218">
        <v>16</v>
      </c>
      <c r="B161" s="150" t="s">
        <v>427</v>
      </c>
      <c r="C161" s="149" t="s">
        <v>428</v>
      </c>
      <c r="D161" s="149" t="s">
        <v>429</v>
      </c>
      <c r="E161" s="150" t="s">
        <v>50</v>
      </c>
      <c r="F161" s="146" t="s">
        <v>35</v>
      </c>
      <c r="G161" s="151">
        <v>34151</v>
      </c>
      <c r="H161" s="61">
        <v>286.58</v>
      </c>
      <c r="I161" s="53">
        <v>8716.7800000000007</v>
      </c>
      <c r="J161" s="62"/>
      <c r="K161" s="63">
        <f t="shared" si="27"/>
        <v>18627.7</v>
      </c>
      <c r="L161" s="63">
        <f t="shared" si="28"/>
        <v>3129.4535999999998</v>
      </c>
      <c r="M161" s="61">
        <v>0</v>
      </c>
      <c r="N161" s="62"/>
      <c r="O161" s="61">
        <f t="shared" si="29"/>
        <v>240.78</v>
      </c>
      <c r="P161" s="62"/>
      <c r="Q161" s="64">
        <f t="shared" si="30"/>
        <v>8476</v>
      </c>
      <c r="R161" s="96">
        <f t="shared" si="31"/>
        <v>4238</v>
      </c>
      <c r="S161" s="147"/>
    </row>
    <row r="162" spans="1:19" s="21" customFormat="1" ht="38.1" customHeight="1" x14ac:dyDescent="0.3">
      <c r="A162" s="218">
        <v>21</v>
      </c>
      <c r="B162" s="150" t="s">
        <v>430</v>
      </c>
      <c r="C162" s="149" t="s">
        <v>431</v>
      </c>
      <c r="D162" s="149" t="s">
        <v>432</v>
      </c>
      <c r="E162" s="150" t="s">
        <v>88</v>
      </c>
      <c r="F162" s="146" t="s">
        <v>35</v>
      </c>
      <c r="G162" s="151">
        <v>34669</v>
      </c>
      <c r="H162" s="61">
        <v>286.58</v>
      </c>
      <c r="I162" s="53">
        <v>8716.7800000000007</v>
      </c>
      <c r="J162" s="62"/>
      <c r="K162" s="63">
        <f t="shared" si="27"/>
        <v>18627.7</v>
      </c>
      <c r="L162" s="63">
        <f t="shared" si="28"/>
        <v>3129.4535999999998</v>
      </c>
      <c r="M162" s="61">
        <v>0</v>
      </c>
      <c r="N162" s="62"/>
      <c r="O162" s="61">
        <f t="shared" si="29"/>
        <v>240.78</v>
      </c>
      <c r="P162" s="62"/>
      <c r="Q162" s="64">
        <f t="shared" si="30"/>
        <v>8476</v>
      </c>
      <c r="R162" s="96">
        <f t="shared" si="31"/>
        <v>4238</v>
      </c>
      <c r="S162" s="147"/>
    </row>
    <row r="163" spans="1:19" s="21" customFormat="1" ht="38.1" customHeight="1" x14ac:dyDescent="0.3">
      <c r="A163" s="218">
        <v>22</v>
      </c>
      <c r="B163" s="150" t="s">
        <v>433</v>
      </c>
      <c r="C163" s="149" t="s">
        <v>434</v>
      </c>
      <c r="D163" s="149" t="s">
        <v>435</v>
      </c>
      <c r="E163" s="150" t="s">
        <v>51</v>
      </c>
      <c r="F163" s="146" t="s">
        <v>35</v>
      </c>
      <c r="G163" s="151">
        <v>34669</v>
      </c>
      <c r="H163" s="61">
        <v>286.58</v>
      </c>
      <c r="I163" s="53">
        <v>8716.7800000000007</v>
      </c>
      <c r="J163" s="62"/>
      <c r="K163" s="63">
        <f t="shared" si="27"/>
        <v>18627.7</v>
      </c>
      <c r="L163" s="63">
        <f t="shared" si="28"/>
        <v>3129.4535999999998</v>
      </c>
      <c r="M163" s="61">
        <v>0</v>
      </c>
      <c r="N163" s="62"/>
      <c r="O163" s="61">
        <f t="shared" si="29"/>
        <v>240.78</v>
      </c>
      <c r="P163" s="62"/>
      <c r="Q163" s="64">
        <f t="shared" si="30"/>
        <v>8476</v>
      </c>
      <c r="R163" s="96">
        <f t="shared" si="31"/>
        <v>4238</v>
      </c>
      <c r="S163" s="147"/>
    </row>
    <row r="164" spans="1:19" s="21" customFormat="1" ht="38.1" customHeight="1" x14ac:dyDescent="0.3">
      <c r="A164" s="218">
        <v>23</v>
      </c>
      <c r="B164" s="150" t="s">
        <v>46</v>
      </c>
      <c r="C164" s="149" t="s">
        <v>436</v>
      </c>
      <c r="D164" s="149" t="s">
        <v>437</v>
      </c>
      <c r="E164" s="150" t="s">
        <v>481</v>
      </c>
      <c r="F164" s="146" t="s">
        <v>35</v>
      </c>
      <c r="G164" s="151">
        <v>42886</v>
      </c>
      <c r="H164" s="61">
        <v>286.58</v>
      </c>
      <c r="I164" s="53">
        <v>8716.7800000000007</v>
      </c>
      <c r="J164" s="62"/>
      <c r="K164" s="63">
        <f t="shared" si="27"/>
        <v>18627.7</v>
      </c>
      <c r="L164" s="63">
        <f t="shared" si="28"/>
        <v>3129.4535999999998</v>
      </c>
      <c r="M164" s="61">
        <v>0</v>
      </c>
      <c r="N164" s="62"/>
      <c r="O164" s="61">
        <f t="shared" si="29"/>
        <v>240.78</v>
      </c>
      <c r="P164" s="62"/>
      <c r="Q164" s="64">
        <f t="shared" si="30"/>
        <v>8476</v>
      </c>
      <c r="R164" s="96">
        <f t="shared" si="31"/>
        <v>4238</v>
      </c>
      <c r="S164" s="147"/>
    </row>
    <row r="165" spans="1:19" s="21" customFormat="1" ht="38.1" customHeight="1" x14ac:dyDescent="0.3">
      <c r="A165" s="218">
        <v>24</v>
      </c>
      <c r="B165" s="150" t="s">
        <v>47</v>
      </c>
      <c r="C165" s="149" t="s">
        <v>438</v>
      </c>
      <c r="D165" s="149" t="s">
        <v>439</v>
      </c>
      <c r="E165" s="150" t="s">
        <v>52</v>
      </c>
      <c r="F165" s="146" t="s">
        <v>35</v>
      </c>
      <c r="G165" s="151">
        <v>43344</v>
      </c>
      <c r="H165" s="61">
        <v>286.58</v>
      </c>
      <c r="I165" s="53">
        <v>8716.7800000000007</v>
      </c>
      <c r="J165" s="62"/>
      <c r="K165" s="63">
        <f t="shared" si="27"/>
        <v>18627.7</v>
      </c>
      <c r="L165" s="63">
        <f t="shared" si="28"/>
        <v>3129.4535999999998</v>
      </c>
      <c r="M165" s="61">
        <v>0</v>
      </c>
      <c r="N165" s="62"/>
      <c r="O165" s="61">
        <f t="shared" si="29"/>
        <v>240.78</v>
      </c>
      <c r="P165" s="62"/>
      <c r="Q165" s="64">
        <f t="shared" si="30"/>
        <v>8476</v>
      </c>
      <c r="R165" s="96">
        <f t="shared" si="31"/>
        <v>4238</v>
      </c>
      <c r="S165" s="147"/>
    </row>
    <row r="166" spans="1:19" s="21" customFormat="1" ht="38.1" customHeight="1" x14ac:dyDescent="0.3">
      <c r="A166" s="218">
        <v>144</v>
      </c>
      <c r="B166" s="150" t="s">
        <v>164</v>
      </c>
      <c r="C166" s="149" t="s">
        <v>440</v>
      </c>
      <c r="D166" s="149" t="s">
        <v>441</v>
      </c>
      <c r="E166" s="150" t="s">
        <v>52</v>
      </c>
      <c r="F166" s="146" t="s">
        <v>35</v>
      </c>
      <c r="G166" s="151">
        <v>45047</v>
      </c>
      <c r="H166" s="61">
        <v>286.58</v>
      </c>
      <c r="I166" s="53">
        <v>8716.7800000000007</v>
      </c>
      <c r="J166" s="62"/>
      <c r="K166" s="63">
        <f t="shared" si="27"/>
        <v>18627.7</v>
      </c>
      <c r="L166" s="63">
        <f t="shared" si="28"/>
        <v>3129.4535999999998</v>
      </c>
      <c r="M166" s="61">
        <v>0</v>
      </c>
      <c r="N166" s="62"/>
      <c r="O166" s="61">
        <f t="shared" si="29"/>
        <v>240.78</v>
      </c>
      <c r="P166" s="62"/>
      <c r="Q166" s="64">
        <f t="shared" si="30"/>
        <v>8476</v>
      </c>
      <c r="R166" s="96">
        <f t="shared" si="31"/>
        <v>4238</v>
      </c>
      <c r="S166" s="147"/>
    </row>
    <row r="167" spans="1:19" s="21" customFormat="1" ht="38.1" customHeight="1" x14ac:dyDescent="0.3">
      <c r="A167" s="218">
        <v>152</v>
      </c>
      <c r="B167" s="150" t="s">
        <v>442</v>
      </c>
      <c r="C167" s="149" t="s">
        <v>443</v>
      </c>
      <c r="D167" s="149" t="s">
        <v>444</v>
      </c>
      <c r="E167" s="150" t="s">
        <v>482</v>
      </c>
      <c r="F167" s="148" t="s">
        <v>35</v>
      </c>
      <c r="G167" s="151">
        <v>45292</v>
      </c>
      <c r="H167" s="61">
        <v>286.58</v>
      </c>
      <c r="I167" s="53">
        <v>8716.7800000000007</v>
      </c>
      <c r="J167" s="62"/>
      <c r="K167" s="63">
        <f t="shared" si="27"/>
        <v>18627.7</v>
      </c>
      <c r="L167" s="63">
        <f t="shared" si="28"/>
        <v>3129.4535999999998</v>
      </c>
      <c r="M167" s="61">
        <v>0</v>
      </c>
      <c r="N167" s="62"/>
      <c r="O167" s="61">
        <f t="shared" si="29"/>
        <v>240.78</v>
      </c>
      <c r="P167" s="62"/>
      <c r="Q167" s="64">
        <f t="shared" si="30"/>
        <v>8476</v>
      </c>
      <c r="R167" s="96">
        <f t="shared" si="31"/>
        <v>4238</v>
      </c>
      <c r="S167" s="147"/>
    </row>
    <row r="168" spans="1:19" s="21" customFormat="1" ht="38.1" customHeight="1" x14ac:dyDescent="0.3">
      <c r="A168" s="218">
        <v>196</v>
      </c>
      <c r="B168" s="150" t="s">
        <v>156</v>
      </c>
      <c r="C168" s="149" t="s">
        <v>445</v>
      </c>
      <c r="D168" s="149" t="s">
        <v>446</v>
      </c>
      <c r="E168" s="150" t="s">
        <v>481</v>
      </c>
      <c r="F168" s="146" t="s">
        <v>17</v>
      </c>
      <c r="G168" s="151">
        <v>45536</v>
      </c>
      <c r="H168" s="61">
        <v>286.58</v>
      </c>
      <c r="I168" s="53">
        <v>8716.7800000000007</v>
      </c>
      <c r="J168" s="62"/>
      <c r="K168" s="63">
        <f t="shared" ref="K168:K182" si="32">+H168*45</f>
        <v>12896.099999999999</v>
      </c>
      <c r="L168" s="63">
        <f t="shared" ref="L168:L182" si="33">+H168*20*0.25</f>
        <v>1432.8999999999999</v>
      </c>
      <c r="M168" s="61">
        <v>0</v>
      </c>
      <c r="N168" s="62"/>
      <c r="O168" s="61">
        <f t="shared" si="29"/>
        <v>240.78</v>
      </c>
      <c r="P168" s="62"/>
      <c r="Q168" s="64">
        <f t="shared" si="30"/>
        <v>8476</v>
      </c>
      <c r="R168" s="96">
        <f t="shared" si="31"/>
        <v>4238</v>
      </c>
      <c r="S168" s="147"/>
    </row>
    <row r="169" spans="1:19" s="21" customFormat="1" ht="38.1" customHeight="1" x14ac:dyDescent="0.3">
      <c r="A169" s="218">
        <v>198</v>
      </c>
      <c r="B169" s="150" t="s">
        <v>148</v>
      </c>
      <c r="C169" s="149" t="s">
        <v>447</v>
      </c>
      <c r="D169" s="149" t="s">
        <v>448</v>
      </c>
      <c r="E169" s="150" t="s">
        <v>26</v>
      </c>
      <c r="F169" s="146" t="s">
        <v>17</v>
      </c>
      <c r="G169" s="151">
        <v>45536</v>
      </c>
      <c r="H169" s="61">
        <v>286.58</v>
      </c>
      <c r="I169" s="53">
        <v>8716.7800000000007</v>
      </c>
      <c r="J169" s="62"/>
      <c r="K169" s="63">
        <f t="shared" si="32"/>
        <v>12896.099999999999</v>
      </c>
      <c r="L169" s="63">
        <f t="shared" si="33"/>
        <v>1432.8999999999999</v>
      </c>
      <c r="M169" s="61">
        <v>0</v>
      </c>
      <c r="N169" s="62"/>
      <c r="O169" s="61">
        <f t="shared" si="29"/>
        <v>240.78</v>
      </c>
      <c r="P169" s="62"/>
      <c r="Q169" s="64">
        <f t="shared" si="30"/>
        <v>8476</v>
      </c>
      <c r="R169" s="96">
        <f t="shared" si="31"/>
        <v>4238</v>
      </c>
      <c r="S169" s="147"/>
    </row>
    <row r="170" spans="1:19" s="21" customFormat="1" ht="38.1" customHeight="1" x14ac:dyDescent="0.3">
      <c r="A170" s="219">
        <v>226</v>
      </c>
      <c r="B170" s="105" t="s">
        <v>173</v>
      </c>
      <c r="C170" s="103" t="s">
        <v>270</v>
      </c>
      <c r="D170" s="103" t="s">
        <v>271</v>
      </c>
      <c r="E170" s="105" t="s">
        <v>185</v>
      </c>
      <c r="F170" s="146" t="s">
        <v>17</v>
      </c>
      <c r="G170" s="108">
        <v>45551</v>
      </c>
      <c r="H170" s="61">
        <v>286.58</v>
      </c>
      <c r="I170" s="53">
        <v>8716.7800000000007</v>
      </c>
      <c r="J170" s="62"/>
      <c r="K170" s="63">
        <f t="shared" si="32"/>
        <v>12896.099999999999</v>
      </c>
      <c r="L170" s="63">
        <f t="shared" si="33"/>
        <v>1432.8999999999999</v>
      </c>
      <c r="M170" s="61">
        <v>0</v>
      </c>
      <c r="N170" s="62"/>
      <c r="O170" s="61">
        <f t="shared" si="29"/>
        <v>240.78</v>
      </c>
      <c r="P170" s="62"/>
      <c r="Q170" s="64">
        <f t="shared" si="30"/>
        <v>8476</v>
      </c>
      <c r="R170" s="96">
        <f t="shared" si="31"/>
        <v>4238</v>
      </c>
      <c r="S170" s="147"/>
    </row>
    <row r="171" spans="1:19" s="21" customFormat="1" ht="38.1" customHeight="1" x14ac:dyDescent="0.3">
      <c r="A171" s="218">
        <v>199</v>
      </c>
      <c r="B171" s="150" t="s">
        <v>157</v>
      </c>
      <c r="C171" s="149" t="s">
        <v>449</v>
      </c>
      <c r="D171" s="149" t="s">
        <v>450</v>
      </c>
      <c r="E171" s="150" t="s">
        <v>185</v>
      </c>
      <c r="F171" s="146" t="s">
        <v>17</v>
      </c>
      <c r="G171" s="151">
        <v>45536</v>
      </c>
      <c r="H171" s="61">
        <v>286.58</v>
      </c>
      <c r="I171" s="53">
        <v>8716.7800000000007</v>
      </c>
      <c r="J171" s="62"/>
      <c r="K171" s="63">
        <f t="shared" si="32"/>
        <v>12896.099999999999</v>
      </c>
      <c r="L171" s="63">
        <f t="shared" si="33"/>
        <v>1432.8999999999999</v>
      </c>
      <c r="M171" s="61">
        <v>0</v>
      </c>
      <c r="N171" s="62"/>
      <c r="O171" s="61">
        <f t="shared" si="29"/>
        <v>240.78</v>
      </c>
      <c r="P171" s="62"/>
      <c r="Q171" s="64">
        <f t="shared" si="30"/>
        <v>8476</v>
      </c>
      <c r="R171" s="96">
        <f t="shared" si="31"/>
        <v>4238</v>
      </c>
      <c r="S171" s="147"/>
    </row>
    <row r="172" spans="1:19" s="21" customFormat="1" ht="38.1" customHeight="1" x14ac:dyDescent="0.3">
      <c r="A172" s="218">
        <v>200</v>
      </c>
      <c r="B172" s="150" t="s">
        <v>96</v>
      </c>
      <c r="C172" s="149" t="s">
        <v>451</v>
      </c>
      <c r="D172" s="149" t="s">
        <v>452</v>
      </c>
      <c r="E172" s="150" t="s">
        <v>185</v>
      </c>
      <c r="F172" s="146" t="s">
        <v>17</v>
      </c>
      <c r="G172" s="151">
        <v>45536</v>
      </c>
      <c r="H172" s="61">
        <v>286.58</v>
      </c>
      <c r="I172" s="53">
        <v>8716.7800000000007</v>
      </c>
      <c r="J172" s="62"/>
      <c r="K172" s="63">
        <f t="shared" si="32"/>
        <v>12896.099999999999</v>
      </c>
      <c r="L172" s="63">
        <f t="shared" si="33"/>
        <v>1432.8999999999999</v>
      </c>
      <c r="M172" s="61">
        <v>0</v>
      </c>
      <c r="N172" s="62"/>
      <c r="O172" s="61">
        <f t="shared" si="29"/>
        <v>240.78</v>
      </c>
      <c r="P172" s="62"/>
      <c r="Q172" s="64">
        <f t="shared" si="30"/>
        <v>8476</v>
      </c>
      <c r="R172" s="96">
        <f t="shared" si="31"/>
        <v>4238</v>
      </c>
      <c r="S172" s="147"/>
    </row>
    <row r="173" spans="1:19" s="21" customFormat="1" ht="38.1" customHeight="1" x14ac:dyDescent="0.3">
      <c r="A173" s="218">
        <v>197</v>
      </c>
      <c r="B173" s="150" t="s">
        <v>95</v>
      </c>
      <c r="C173" s="149" t="s">
        <v>453</v>
      </c>
      <c r="D173" s="149" t="s">
        <v>454</v>
      </c>
      <c r="E173" s="150" t="s">
        <v>185</v>
      </c>
      <c r="F173" s="146" t="s">
        <v>17</v>
      </c>
      <c r="G173" s="151">
        <v>45536</v>
      </c>
      <c r="H173" s="61">
        <v>286.58</v>
      </c>
      <c r="I173" s="53">
        <v>8716.7800000000007</v>
      </c>
      <c r="J173" s="62"/>
      <c r="K173" s="63">
        <f t="shared" si="32"/>
        <v>12896.099999999999</v>
      </c>
      <c r="L173" s="63">
        <f t="shared" si="33"/>
        <v>1432.8999999999999</v>
      </c>
      <c r="M173" s="61">
        <v>0</v>
      </c>
      <c r="N173" s="62"/>
      <c r="O173" s="61">
        <f t="shared" si="29"/>
        <v>240.78</v>
      </c>
      <c r="P173" s="62"/>
      <c r="Q173" s="64">
        <f t="shared" si="30"/>
        <v>8476</v>
      </c>
      <c r="R173" s="96">
        <f t="shared" si="31"/>
        <v>4238</v>
      </c>
      <c r="S173" s="147"/>
    </row>
    <row r="174" spans="1:19" s="21" customFormat="1" ht="38.1" customHeight="1" x14ac:dyDescent="0.3">
      <c r="A174" s="218">
        <v>201</v>
      </c>
      <c r="B174" s="150" t="s">
        <v>175</v>
      </c>
      <c r="C174" s="149" t="s">
        <v>455</v>
      </c>
      <c r="D174" s="149" t="s">
        <v>456</v>
      </c>
      <c r="E174" s="150" t="s">
        <v>185</v>
      </c>
      <c r="F174" s="146" t="s">
        <v>17</v>
      </c>
      <c r="G174" s="151">
        <v>45536</v>
      </c>
      <c r="H174" s="61">
        <v>286.58</v>
      </c>
      <c r="I174" s="53">
        <v>8716.7800000000007</v>
      </c>
      <c r="J174" s="62"/>
      <c r="K174" s="63">
        <f t="shared" si="32"/>
        <v>12896.099999999999</v>
      </c>
      <c r="L174" s="63">
        <f t="shared" si="33"/>
        <v>1432.8999999999999</v>
      </c>
      <c r="M174" s="61">
        <v>0</v>
      </c>
      <c r="N174" s="62"/>
      <c r="O174" s="61">
        <f t="shared" si="29"/>
        <v>240.78</v>
      </c>
      <c r="P174" s="62"/>
      <c r="Q174" s="64">
        <f t="shared" si="30"/>
        <v>8476</v>
      </c>
      <c r="R174" s="96">
        <f t="shared" si="31"/>
        <v>4238</v>
      </c>
      <c r="S174" s="147"/>
    </row>
    <row r="175" spans="1:19" s="21" customFormat="1" ht="38.1" customHeight="1" x14ac:dyDescent="0.3">
      <c r="A175" s="218">
        <v>204</v>
      </c>
      <c r="B175" s="150" t="s">
        <v>115</v>
      </c>
      <c r="C175" s="149" t="s">
        <v>457</v>
      </c>
      <c r="D175" s="149" t="s">
        <v>458</v>
      </c>
      <c r="E175" s="150" t="s">
        <v>185</v>
      </c>
      <c r="F175" s="146" t="s">
        <v>17</v>
      </c>
      <c r="G175" s="151">
        <v>45536</v>
      </c>
      <c r="H175" s="61">
        <v>286.58</v>
      </c>
      <c r="I175" s="53">
        <v>8716.7800000000007</v>
      </c>
      <c r="J175" s="62"/>
      <c r="K175" s="63">
        <f t="shared" si="32"/>
        <v>12896.099999999999</v>
      </c>
      <c r="L175" s="63">
        <f t="shared" si="33"/>
        <v>1432.8999999999999</v>
      </c>
      <c r="M175" s="61">
        <v>0</v>
      </c>
      <c r="N175" s="62"/>
      <c r="O175" s="61">
        <f t="shared" si="29"/>
        <v>240.78</v>
      </c>
      <c r="P175" s="62"/>
      <c r="Q175" s="64">
        <f t="shared" si="30"/>
        <v>8476</v>
      </c>
      <c r="R175" s="96">
        <f t="shared" si="31"/>
        <v>4238</v>
      </c>
      <c r="S175" s="147"/>
    </row>
    <row r="176" spans="1:19" s="21" customFormat="1" ht="38.1" customHeight="1" x14ac:dyDescent="0.3">
      <c r="A176" s="218">
        <v>205</v>
      </c>
      <c r="B176" s="150" t="s">
        <v>127</v>
      </c>
      <c r="C176" s="149" t="s">
        <v>459</v>
      </c>
      <c r="D176" s="149" t="s">
        <v>460</v>
      </c>
      <c r="E176" s="150" t="s">
        <v>155</v>
      </c>
      <c r="F176" s="146" t="s">
        <v>17</v>
      </c>
      <c r="G176" s="151">
        <v>45536</v>
      </c>
      <c r="H176" s="61">
        <v>286.58</v>
      </c>
      <c r="I176" s="53">
        <v>8716.7800000000007</v>
      </c>
      <c r="J176" s="62"/>
      <c r="K176" s="63">
        <f t="shared" si="32"/>
        <v>12896.099999999999</v>
      </c>
      <c r="L176" s="63">
        <f t="shared" si="33"/>
        <v>1432.8999999999999</v>
      </c>
      <c r="M176" s="61">
        <v>0</v>
      </c>
      <c r="N176" s="62"/>
      <c r="O176" s="61">
        <f t="shared" si="29"/>
        <v>240.78</v>
      </c>
      <c r="P176" s="62"/>
      <c r="Q176" s="64">
        <f t="shared" si="30"/>
        <v>8476</v>
      </c>
      <c r="R176" s="96">
        <f t="shared" si="31"/>
        <v>4238</v>
      </c>
      <c r="S176" s="147"/>
    </row>
    <row r="177" spans="1:19" s="21" customFormat="1" ht="38.1" customHeight="1" x14ac:dyDescent="0.3">
      <c r="A177" s="218">
        <v>206</v>
      </c>
      <c r="B177" s="150" t="s">
        <v>158</v>
      </c>
      <c r="C177" s="149" t="s">
        <v>461</v>
      </c>
      <c r="D177" s="149" t="s">
        <v>462</v>
      </c>
      <c r="E177" s="150" t="s">
        <v>155</v>
      </c>
      <c r="F177" s="146" t="s">
        <v>17</v>
      </c>
      <c r="G177" s="151">
        <v>45536</v>
      </c>
      <c r="H177" s="61">
        <v>286.58</v>
      </c>
      <c r="I177" s="53">
        <v>8716.7800000000007</v>
      </c>
      <c r="J177" s="62"/>
      <c r="K177" s="63">
        <f t="shared" si="32"/>
        <v>12896.099999999999</v>
      </c>
      <c r="L177" s="63">
        <f t="shared" si="33"/>
        <v>1432.8999999999999</v>
      </c>
      <c r="M177" s="61">
        <v>0</v>
      </c>
      <c r="N177" s="62"/>
      <c r="O177" s="61">
        <f t="shared" si="29"/>
        <v>240.78</v>
      </c>
      <c r="P177" s="62"/>
      <c r="Q177" s="64">
        <f t="shared" si="30"/>
        <v>8476</v>
      </c>
      <c r="R177" s="96">
        <f t="shared" si="31"/>
        <v>4238</v>
      </c>
      <c r="S177" s="147"/>
    </row>
    <row r="178" spans="1:19" s="21" customFormat="1" ht="38.1" customHeight="1" x14ac:dyDescent="0.3">
      <c r="A178" s="218">
        <v>207</v>
      </c>
      <c r="B178" s="150" t="s">
        <v>97</v>
      </c>
      <c r="C178" s="149" t="s">
        <v>463</v>
      </c>
      <c r="D178" s="149" t="s">
        <v>464</v>
      </c>
      <c r="E178" s="150" t="s">
        <v>155</v>
      </c>
      <c r="F178" s="146" t="s">
        <v>17</v>
      </c>
      <c r="G178" s="151">
        <v>45536</v>
      </c>
      <c r="H178" s="61">
        <v>286.58</v>
      </c>
      <c r="I178" s="53">
        <v>8716.7800000000007</v>
      </c>
      <c r="J178" s="62"/>
      <c r="K178" s="63">
        <f t="shared" si="32"/>
        <v>12896.099999999999</v>
      </c>
      <c r="L178" s="63">
        <f t="shared" si="33"/>
        <v>1432.8999999999999</v>
      </c>
      <c r="M178" s="61">
        <v>0</v>
      </c>
      <c r="N178" s="62"/>
      <c r="O178" s="61">
        <f t="shared" si="29"/>
        <v>240.78</v>
      </c>
      <c r="P178" s="62"/>
      <c r="Q178" s="64">
        <f t="shared" si="30"/>
        <v>8476</v>
      </c>
      <c r="R178" s="96">
        <f t="shared" si="31"/>
        <v>4238</v>
      </c>
      <c r="S178" s="147"/>
    </row>
    <row r="179" spans="1:19" s="21" customFormat="1" ht="38.1" customHeight="1" x14ac:dyDescent="0.3">
      <c r="A179" s="218">
        <v>208</v>
      </c>
      <c r="B179" s="150" t="s">
        <v>154</v>
      </c>
      <c r="C179" s="149" t="s">
        <v>465</v>
      </c>
      <c r="D179" s="149" t="s">
        <v>466</v>
      </c>
      <c r="E179" s="150" t="s">
        <v>155</v>
      </c>
      <c r="F179" s="146" t="s">
        <v>17</v>
      </c>
      <c r="G179" s="151">
        <v>45536</v>
      </c>
      <c r="H179" s="61">
        <v>286.58</v>
      </c>
      <c r="I179" s="53">
        <v>8716.7800000000007</v>
      </c>
      <c r="J179" s="62"/>
      <c r="K179" s="63">
        <f t="shared" si="32"/>
        <v>12896.099999999999</v>
      </c>
      <c r="L179" s="63">
        <f t="shared" si="33"/>
        <v>1432.8999999999999</v>
      </c>
      <c r="M179" s="61">
        <v>0</v>
      </c>
      <c r="N179" s="62"/>
      <c r="O179" s="61">
        <f t="shared" si="29"/>
        <v>240.78</v>
      </c>
      <c r="P179" s="62"/>
      <c r="Q179" s="64">
        <f t="shared" si="30"/>
        <v>8476</v>
      </c>
      <c r="R179" s="96">
        <f t="shared" si="31"/>
        <v>4238</v>
      </c>
      <c r="S179" s="147"/>
    </row>
    <row r="180" spans="1:19" s="21" customFormat="1" ht="38.1" customHeight="1" x14ac:dyDescent="0.3">
      <c r="A180" s="218">
        <v>227</v>
      </c>
      <c r="B180" s="150" t="s">
        <v>467</v>
      </c>
      <c r="C180" s="149" t="s">
        <v>468</v>
      </c>
      <c r="D180" s="149" t="s">
        <v>469</v>
      </c>
      <c r="E180" s="150" t="s">
        <v>155</v>
      </c>
      <c r="F180" s="146" t="s">
        <v>17</v>
      </c>
      <c r="G180" s="151">
        <v>45551</v>
      </c>
      <c r="H180" s="61">
        <v>286.58</v>
      </c>
      <c r="I180" s="53">
        <v>8716.7800000000007</v>
      </c>
      <c r="J180" s="62"/>
      <c r="K180" s="63">
        <f t="shared" si="32"/>
        <v>12896.099999999999</v>
      </c>
      <c r="L180" s="63">
        <f t="shared" si="33"/>
        <v>1432.8999999999999</v>
      </c>
      <c r="M180" s="61">
        <v>0</v>
      </c>
      <c r="N180" s="62"/>
      <c r="O180" s="61">
        <f t="shared" si="29"/>
        <v>240.78</v>
      </c>
      <c r="P180" s="62"/>
      <c r="Q180" s="64">
        <f t="shared" si="30"/>
        <v>8476</v>
      </c>
      <c r="R180" s="96">
        <f t="shared" si="31"/>
        <v>4238</v>
      </c>
      <c r="S180" s="147"/>
    </row>
    <row r="181" spans="1:19" s="21" customFormat="1" ht="38.1" customHeight="1" x14ac:dyDescent="0.3">
      <c r="A181" s="218">
        <v>232</v>
      </c>
      <c r="B181" s="150" t="s">
        <v>470</v>
      </c>
      <c r="C181" s="149" t="s">
        <v>471</v>
      </c>
      <c r="D181" s="149" t="s">
        <v>472</v>
      </c>
      <c r="E181" s="150" t="s">
        <v>267</v>
      </c>
      <c r="F181" s="146" t="s">
        <v>17</v>
      </c>
      <c r="G181" s="151">
        <v>45566</v>
      </c>
      <c r="H181" s="61">
        <v>286.58</v>
      </c>
      <c r="I181" s="53">
        <v>8716.7800000000007</v>
      </c>
      <c r="J181" s="62"/>
      <c r="K181" s="63">
        <f t="shared" si="32"/>
        <v>12896.099999999999</v>
      </c>
      <c r="L181" s="63">
        <f t="shared" si="33"/>
        <v>1432.8999999999999</v>
      </c>
      <c r="M181" s="61">
        <v>0</v>
      </c>
      <c r="N181" s="62"/>
      <c r="O181" s="61">
        <f t="shared" si="29"/>
        <v>240.78</v>
      </c>
      <c r="P181" s="62"/>
      <c r="Q181" s="64">
        <f t="shared" si="30"/>
        <v>8476</v>
      </c>
      <c r="R181" s="96">
        <f t="shared" si="31"/>
        <v>4238</v>
      </c>
      <c r="S181" s="147"/>
    </row>
    <row r="182" spans="1:19" s="21" customFormat="1" ht="38.1" customHeight="1" thickBot="1" x14ac:dyDescent="0.35">
      <c r="A182" s="220">
        <v>234</v>
      </c>
      <c r="B182" s="221" t="s">
        <v>473</v>
      </c>
      <c r="C182" s="222" t="s">
        <v>474</v>
      </c>
      <c r="D182" s="222" t="s">
        <v>475</v>
      </c>
      <c r="E182" s="221" t="s">
        <v>267</v>
      </c>
      <c r="F182" s="223" t="s">
        <v>17</v>
      </c>
      <c r="G182" s="224">
        <v>45581</v>
      </c>
      <c r="H182" s="92">
        <v>286.58</v>
      </c>
      <c r="I182" s="175">
        <v>8716.7800000000007</v>
      </c>
      <c r="J182" s="94"/>
      <c r="K182" s="93">
        <f t="shared" si="32"/>
        <v>12896.099999999999</v>
      </c>
      <c r="L182" s="93">
        <f t="shared" si="33"/>
        <v>1432.8999999999999</v>
      </c>
      <c r="M182" s="92">
        <v>0</v>
      </c>
      <c r="N182" s="94"/>
      <c r="O182" s="92">
        <f t="shared" si="29"/>
        <v>240.78</v>
      </c>
      <c r="P182" s="94"/>
      <c r="Q182" s="95">
        <f t="shared" si="30"/>
        <v>8476</v>
      </c>
      <c r="R182" s="97">
        <f t="shared" si="31"/>
        <v>4238</v>
      </c>
      <c r="S182" s="147"/>
    </row>
    <row r="183" spans="1:19" s="21" customFormat="1" ht="38.1" customHeight="1" thickBot="1" x14ac:dyDescent="0.35">
      <c r="A183" s="139"/>
      <c r="B183" s="56" t="s">
        <v>19</v>
      </c>
      <c r="C183" s="124"/>
      <c r="D183" s="124"/>
      <c r="E183" s="124"/>
      <c r="F183" s="212"/>
      <c r="G183" s="213"/>
      <c r="H183" s="90"/>
      <c r="I183" s="125"/>
      <c r="J183" s="83"/>
      <c r="K183" s="125"/>
      <c r="L183" s="125"/>
      <c r="M183" s="90"/>
      <c r="N183" s="83"/>
      <c r="O183" s="90"/>
      <c r="P183" s="214"/>
      <c r="Q183" s="126"/>
      <c r="R183" s="147"/>
      <c r="S183" s="147"/>
    </row>
    <row r="184" spans="1:19" s="19" customFormat="1" ht="30" customHeight="1" thickBot="1" x14ac:dyDescent="0.35">
      <c r="A184" s="21"/>
      <c r="B184" s="56" t="s">
        <v>20</v>
      </c>
      <c r="C184" s="56"/>
      <c r="D184" s="56"/>
      <c r="E184" s="85"/>
      <c r="F184" s="243" t="s">
        <v>18</v>
      </c>
      <c r="G184" s="244"/>
      <c r="H184" s="276"/>
      <c r="I184" s="195">
        <f t="shared" ref="I184:Q184" si="34">SUM(I152:I182)</f>
        <v>270220.18</v>
      </c>
      <c r="J184" s="193">
        <f t="shared" si="34"/>
        <v>0</v>
      </c>
      <c r="K184" s="195">
        <f t="shared" si="34"/>
        <v>491484.69999999972</v>
      </c>
      <c r="L184" s="193">
        <f t="shared" si="34"/>
        <v>71564.757599999997</v>
      </c>
      <c r="M184" s="195">
        <f t="shared" si="34"/>
        <v>0</v>
      </c>
      <c r="N184" s="193">
        <f t="shared" si="34"/>
        <v>0</v>
      </c>
      <c r="O184" s="195">
        <f t="shared" si="34"/>
        <v>7464.1799999999985</v>
      </c>
      <c r="P184" s="193">
        <f t="shared" si="34"/>
        <v>0</v>
      </c>
      <c r="Q184" s="195">
        <f t="shared" si="34"/>
        <v>262756</v>
      </c>
      <c r="R184" s="194">
        <f>SUM(R152:R182)</f>
        <v>131378</v>
      </c>
      <c r="S184" s="164"/>
    </row>
    <row r="185" spans="1:19" ht="30" customHeight="1" thickBot="1" x14ac:dyDescent="0.35">
      <c r="A185" s="9"/>
      <c r="B185" s="56" t="s">
        <v>21</v>
      </c>
      <c r="C185" s="56"/>
      <c r="D185" s="56"/>
      <c r="E185" s="56"/>
      <c r="F185" s="233" t="s">
        <v>484</v>
      </c>
      <c r="G185" s="234"/>
      <c r="H185" s="234"/>
      <c r="I185" s="229">
        <f>+I184*12</f>
        <v>3242642.16</v>
      </c>
      <c r="J185" s="227">
        <f t="shared" ref="J185:R185" si="35">+J184*12</f>
        <v>0</v>
      </c>
      <c r="K185" s="229">
        <f>+K184</f>
        <v>491484.69999999972</v>
      </c>
      <c r="L185" s="227">
        <f>+L184</f>
        <v>71564.757599999997</v>
      </c>
      <c r="M185" s="229">
        <f t="shared" si="35"/>
        <v>0</v>
      </c>
      <c r="N185" s="227">
        <f t="shared" si="35"/>
        <v>0</v>
      </c>
      <c r="O185" s="229">
        <f t="shared" si="35"/>
        <v>89570.159999999974</v>
      </c>
      <c r="P185" s="227">
        <f t="shared" si="35"/>
        <v>0</v>
      </c>
      <c r="Q185" s="229">
        <f t="shared" si="35"/>
        <v>3153072</v>
      </c>
      <c r="R185" s="228">
        <f t="shared" si="35"/>
        <v>1576536</v>
      </c>
      <c r="S185" s="38"/>
    </row>
    <row r="186" spans="1:19" ht="30" customHeight="1" x14ac:dyDescent="0.3">
      <c r="A186" s="9"/>
      <c r="B186" s="56" t="s">
        <v>22</v>
      </c>
      <c r="C186" s="56"/>
      <c r="D186" s="56"/>
      <c r="E186" s="56"/>
      <c r="F186" s="59"/>
      <c r="G186" s="10"/>
      <c r="H186" s="59"/>
      <c r="I186" s="60"/>
      <c r="J186" s="60"/>
      <c r="K186" s="60"/>
      <c r="L186" s="60"/>
      <c r="M186" s="60"/>
      <c r="N186" s="60"/>
      <c r="O186" s="60"/>
      <c r="P186" s="60"/>
      <c r="Q186" s="60"/>
      <c r="R186" s="153"/>
      <c r="S186" s="38"/>
    </row>
    <row r="187" spans="1:19" ht="30" customHeight="1" x14ac:dyDescent="0.3">
      <c r="A187" s="9"/>
      <c r="B187" s="56" t="s">
        <v>23</v>
      </c>
      <c r="C187" s="56"/>
      <c r="D187" s="56"/>
      <c r="E187" s="56"/>
      <c r="F187" s="59"/>
      <c r="G187" s="10"/>
      <c r="H187" s="59"/>
      <c r="I187" s="60"/>
      <c r="J187" s="60"/>
      <c r="K187" s="60"/>
      <c r="L187" s="60"/>
      <c r="M187" s="60"/>
      <c r="N187" s="60"/>
      <c r="O187" s="60"/>
      <c r="P187" s="60"/>
      <c r="Q187" s="60"/>
      <c r="R187" s="153"/>
      <c r="S187" s="38"/>
    </row>
    <row r="188" spans="1:19" ht="30" customHeight="1" x14ac:dyDescent="0.3">
      <c r="A188" s="9"/>
      <c r="B188" s="56"/>
      <c r="C188" s="56"/>
      <c r="D188" s="56"/>
      <c r="E188" s="56"/>
      <c r="F188" s="59"/>
      <c r="G188" s="10"/>
      <c r="H188" s="59"/>
      <c r="I188" s="60"/>
      <c r="J188" s="60"/>
      <c r="K188" s="60"/>
      <c r="L188" s="60"/>
      <c r="M188" s="60"/>
      <c r="N188" s="60"/>
      <c r="O188" s="60"/>
      <c r="P188" s="60"/>
      <c r="Q188" s="60"/>
      <c r="R188" s="153"/>
      <c r="S188" s="38"/>
    </row>
    <row r="189" spans="1:19" ht="30" customHeight="1" x14ac:dyDescent="0.3">
      <c r="A189" s="256" t="s">
        <v>32</v>
      </c>
      <c r="B189" s="256"/>
      <c r="C189" s="256"/>
      <c r="D189" s="256"/>
      <c r="E189" s="256"/>
      <c r="F189" s="256"/>
      <c r="G189" s="256"/>
      <c r="H189" s="256"/>
      <c r="I189" s="256"/>
      <c r="J189" s="256"/>
      <c r="K189" s="256"/>
      <c r="L189" s="256"/>
      <c r="M189" s="256"/>
      <c r="N189" s="256"/>
      <c r="O189" s="256"/>
      <c r="P189" s="256"/>
      <c r="Q189" s="256"/>
      <c r="R189" s="153"/>
      <c r="S189" s="38"/>
    </row>
    <row r="190" spans="1:19" ht="30" customHeight="1" x14ac:dyDescent="0.3">
      <c r="A190" s="235" t="s">
        <v>0</v>
      </c>
      <c r="B190" s="235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5"/>
      <c r="N190" s="235"/>
      <c r="O190" s="235"/>
      <c r="P190" s="235"/>
      <c r="Q190" s="235"/>
      <c r="R190" s="153"/>
      <c r="S190" s="38"/>
    </row>
    <row r="191" spans="1:19" ht="30" customHeight="1" thickBot="1" x14ac:dyDescent="0.35">
      <c r="A191" s="235" t="s">
        <v>210</v>
      </c>
      <c r="B191" s="235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5"/>
      <c r="N191" s="235"/>
      <c r="O191" s="235"/>
      <c r="P191" s="235"/>
      <c r="Q191" s="235"/>
      <c r="R191" s="153"/>
      <c r="S191" s="38"/>
    </row>
    <row r="192" spans="1:19" ht="24.9" customHeight="1" x14ac:dyDescent="0.3">
      <c r="A192" s="115"/>
      <c r="B192" s="264" t="s">
        <v>488</v>
      </c>
      <c r="C192" s="264"/>
      <c r="D192" s="264"/>
      <c r="E192" s="264"/>
      <c r="F192" s="264"/>
      <c r="G192" s="264"/>
      <c r="H192" s="264"/>
      <c r="I192" s="2"/>
      <c r="J192" s="2"/>
      <c r="K192" s="2"/>
      <c r="L192" s="2"/>
      <c r="M192" s="3"/>
      <c r="N192" s="3"/>
      <c r="O192" s="3"/>
      <c r="P192" s="3"/>
      <c r="Q192" s="86"/>
      <c r="R192" s="303"/>
      <c r="S192" s="147"/>
    </row>
    <row r="193" spans="1:19" ht="24.9" customHeight="1" thickBot="1" x14ac:dyDescent="0.35">
      <c r="A193" s="116"/>
      <c r="B193" s="265"/>
      <c r="C193" s="265"/>
      <c r="D193" s="265"/>
      <c r="E193" s="265"/>
      <c r="F193" s="247"/>
      <c r="G193" s="247"/>
      <c r="H193" s="247"/>
      <c r="I193" s="87"/>
      <c r="J193" s="87"/>
      <c r="K193" s="87"/>
      <c r="L193" s="87"/>
      <c r="M193" s="87"/>
      <c r="N193" s="87"/>
      <c r="O193" s="87"/>
      <c r="P193" s="87"/>
      <c r="Q193" s="88"/>
      <c r="R193" s="304"/>
      <c r="S193" s="147"/>
    </row>
    <row r="194" spans="1:19" s="28" customFormat="1" ht="27.9" customHeight="1" x14ac:dyDescent="0.3">
      <c r="A194" s="236"/>
      <c r="B194" s="248" t="s">
        <v>2</v>
      </c>
      <c r="C194" s="245" t="s">
        <v>188</v>
      </c>
      <c r="D194" s="245" t="s">
        <v>189</v>
      </c>
      <c r="E194" s="248" t="s">
        <v>3</v>
      </c>
      <c r="F194" s="238" t="s">
        <v>4</v>
      </c>
      <c r="G194" s="250" t="s">
        <v>5</v>
      </c>
      <c r="H194" s="238" t="s">
        <v>6</v>
      </c>
      <c r="I194" s="238" t="s">
        <v>7</v>
      </c>
      <c r="J194" s="238" t="s">
        <v>8</v>
      </c>
      <c r="K194" s="238" t="s">
        <v>9</v>
      </c>
      <c r="L194" s="238" t="s">
        <v>10</v>
      </c>
      <c r="M194" s="238" t="s">
        <v>11</v>
      </c>
      <c r="N194" s="238" t="s">
        <v>12</v>
      </c>
      <c r="O194" s="238" t="s">
        <v>13</v>
      </c>
      <c r="P194" s="238" t="s">
        <v>14</v>
      </c>
      <c r="Q194" s="241" t="s">
        <v>15</v>
      </c>
      <c r="R194" s="300" t="s">
        <v>149</v>
      </c>
      <c r="S194" s="162"/>
    </row>
    <row r="195" spans="1:19" s="28" customFormat="1" ht="27.9" customHeight="1" thickBot="1" x14ac:dyDescent="0.35">
      <c r="A195" s="237"/>
      <c r="B195" s="259"/>
      <c r="C195" s="246"/>
      <c r="D195" s="246"/>
      <c r="E195" s="249"/>
      <c r="F195" s="239"/>
      <c r="G195" s="272"/>
      <c r="H195" s="239"/>
      <c r="I195" s="239"/>
      <c r="J195" s="239"/>
      <c r="K195" s="239"/>
      <c r="L195" s="239"/>
      <c r="M195" s="239"/>
      <c r="N195" s="240"/>
      <c r="O195" s="240"/>
      <c r="P195" s="239"/>
      <c r="Q195" s="242"/>
      <c r="R195" s="302"/>
      <c r="S195" s="162"/>
    </row>
    <row r="196" spans="1:19" s="135" customFormat="1" ht="39.9" customHeight="1" x14ac:dyDescent="0.3">
      <c r="A196" s="136">
        <v>228</v>
      </c>
      <c r="B196" s="127" t="s">
        <v>272</v>
      </c>
      <c r="C196" s="101" t="s">
        <v>273</v>
      </c>
      <c r="D196" s="101" t="s">
        <v>274</v>
      </c>
      <c r="E196" s="133" t="s">
        <v>53</v>
      </c>
      <c r="F196" s="134" t="s">
        <v>16</v>
      </c>
      <c r="G196" s="108">
        <v>45566</v>
      </c>
      <c r="H196" s="61">
        <v>286.58</v>
      </c>
      <c r="I196" s="53">
        <v>8716.7800000000007</v>
      </c>
      <c r="J196" s="62"/>
      <c r="K196" s="63">
        <f>+H196*45</f>
        <v>12896.099999999999</v>
      </c>
      <c r="L196" s="63">
        <f>+H196*20*0.25</f>
        <v>1432.8999999999999</v>
      </c>
      <c r="M196" s="61">
        <v>0</v>
      </c>
      <c r="N196" s="62"/>
      <c r="O196" s="61">
        <f>120.39*2</f>
        <v>240.78</v>
      </c>
      <c r="P196" s="62"/>
      <c r="Q196" s="64">
        <f>+I196+M196-O196</f>
        <v>8476</v>
      </c>
      <c r="R196" s="104">
        <f>+Q196/2</f>
        <v>4238</v>
      </c>
      <c r="S196" s="147"/>
    </row>
    <row r="197" spans="1:19" s="28" customFormat="1" ht="39.9" customHeight="1" x14ac:dyDescent="0.3">
      <c r="A197" s="20"/>
      <c r="B197" s="71" t="s">
        <v>187</v>
      </c>
      <c r="C197" s="71"/>
      <c r="D197" s="71"/>
      <c r="E197" s="66" t="s">
        <v>77</v>
      </c>
      <c r="F197" s="77" t="s">
        <v>17</v>
      </c>
      <c r="G197" s="35"/>
      <c r="H197" s="61">
        <v>286.58</v>
      </c>
      <c r="I197" s="53">
        <v>8716.7800000000007</v>
      </c>
      <c r="J197" s="62"/>
      <c r="K197" s="63">
        <f>+H197*45</f>
        <v>12896.099999999999</v>
      </c>
      <c r="L197" s="63">
        <f>+H197*20*0.25</f>
        <v>1432.8999999999999</v>
      </c>
      <c r="M197" s="61">
        <v>0</v>
      </c>
      <c r="N197" s="62"/>
      <c r="O197" s="61">
        <f>120.39*2</f>
        <v>240.78</v>
      </c>
      <c r="P197" s="62"/>
      <c r="Q197" s="64">
        <f>+I197+M197-O197</f>
        <v>8476</v>
      </c>
      <c r="R197" s="104">
        <f>+Q197/2</f>
        <v>4238</v>
      </c>
      <c r="S197" s="147"/>
    </row>
    <row r="198" spans="1:19" ht="34.5" customHeight="1" thickBot="1" x14ac:dyDescent="0.35">
      <c r="A198" s="123"/>
      <c r="B198" s="56" t="s">
        <v>19</v>
      </c>
      <c r="C198" s="56"/>
      <c r="D198" s="56"/>
      <c r="E198" s="89"/>
      <c r="F198" s="19"/>
      <c r="G198" s="114"/>
      <c r="H198" s="90"/>
      <c r="I198" s="83"/>
      <c r="J198" s="83"/>
      <c r="K198" s="83"/>
      <c r="L198" s="83"/>
      <c r="M198" s="83"/>
      <c r="N198" s="83"/>
      <c r="O198" s="83"/>
      <c r="P198" s="83"/>
      <c r="Q198" s="91"/>
      <c r="R198" s="153"/>
      <c r="S198" s="38"/>
    </row>
    <row r="199" spans="1:19" ht="34.5" customHeight="1" thickBot="1" x14ac:dyDescent="0.35">
      <c r="A199" s="7"/>
      <c r="B199" s="56" t="s">
        <v>20</v>
      </c>
      <c r="C199" s="56"/>
      <c r="D199" s="56"/>
      <c r="E199" s="57"/>
      <c r="F199" s="243" t="s">
        <v>18</v>
      </c>
      <c r="G199" s="244"/>
      <c r="H199" s="244"/>
      <c r="I199" s="17">
        <f>SUM(I196:I197)</f>
        <v>17433.560000000001</v>
      </c>
      <c r="J199" s="17">
        <f t="shared" ref="J199:Q199" si="36">SUM(J196:J197)</f>
        <v>0</v>
      </c>
      <c r="K199" s="17">
        <f t="shared" si="36"/>
        <v>25792.199999999997</v>
      </c>
      <c r="L199" s="17">
        <f t="shared" si="36"/>
        <v>2865.7999999999997</v>
      </c>
      <c r="M199" s="17">
        <f t="shared" si="36"/>
        <v>0</v>
      </c>
      <c r="N199" s="17">
        <f t="shared" si="36"/>
        <v>0</v>
      </c>
      <c r="O199" s="17">
        <f t="shared" si="36"/>
        <v>481.56</v>
      </c>
      <c r="P199" s="17">
        <f t="shared" si="36"/>
        <v>0</v>
      </c>
      <c r="Q199" s="34">
        <f t="shared" si="36"/>
        <v>16952</v>
      </c>
      <c r="R199" s="152">
        <f>+R197+R196</f>
        <v>8476</v>
      </c>
      <c r="S199" s="147"/>
    </row>
    <row r="200" spans="1:19" ht="34.5" customHeight="1" thickBot="1" x14ac:dyDescent="0.35">
      <c r="A200" s="7"/>
      <c r="B200" s="56" t="s">
        <v>21</v>
      </c>
      <c r="C200" s="56"/>
      <c r="D200" s="56"/>
      <c r="E200" s="57"/>
      <c r="F200" s="233" t="s">
        <v>484</v>
      </c>
      <c r="G200" s="234"/>
      <c r="H200" s="234"/>
      <c r="I200" s="195">
        <f>+I199*12</f>
        <v>209202.72000000003</v>
      </c>
      <c r="J200" s="193">
        <f t="shared" ref="J200:R200" si="37">+J199*12</f>
        <v>0</v>
      </c>
      <c r="K200" s="195">
        <f>+K199</f>
        <v>25792.199999999997</v>
      </c>
      <c r="L200" s="193">
        <f>+L199</f>
        <v>2865.7999999999997</v>
      </c>
      <c r="M200" s="195">
        <f t="shared" si="37"/>
        <v>0</v>
      </c>
      <c r="N200" s="193">
        <f t="shared" si="37"/>
        <v>0</v>
      </c>
      <c r="O200" s="195">
        <f t="shared" si="37"/>
        <v>5778.72</v>
      </c>
      <c r="P200" s="193">
        <f t="shared" si="37"/>
        <v>0</v>
      </c>
      <c r="Q200" s="195">
        <f t="shared" si="37"/>
        <v>203424</v>
      </c>
      <c r="R200" s="194">
        <f t="shared" si="37"/>
        <v>101712</v>
      </c>
      <c r="S200" s="38"/>
    </row>
    <row r="201" spans="1:19" ht="34.5" customHeight="1" x14ac:dyDescent="0.3">
      <c r="A201" s="7"/>
      <c r="B201" s="56" t="s">
        <v>22</v>
      </c>
      <c r="C201" s="56"/>
      <c r="D201" s="56"/>
      <c r="E201" s="57"/>
      <c r="F201" s="67"/>
      <c r="G201" s="111"/>
      <c r="H201" s="67"/>
      <c r="I201" s="13"/>
      <c r="J201" s="13"/>
      <c r="K201" s="13"/>
      <c r="L201" s="13"/>
      <c r="M201" s="13"/>
      <c r="N201" s="13"/>
      <c r="O201" s="13"/>
      <c r="P201" s="13"/>
      <c r="Q201" s="13"/>
      <c r="R201" s="153"/>
      <c r="S201" s="38"/>
    </row>
    <row r="202" spans="1:19" ht="34.5" customHeight="1" x14ac:dyDescent="0.3">
      <c r="A202" s="7"/>
      <c r="B202" s="56" t="s">
        <v>23</v>
      </c>
      <c r="C202" s="56"/>
      <c r="D202" s="56"/>
      <c r="E202" s="57"/>
      <c r="F202" s="67"/>
      <c r="G202" s="111"/>
      <c r="H202" s="67"/>
      <c r="I202" s="13"/>
      <c r="J202" s="13"/>
      <c r="K202" s="13"/>
      <c r="L202" s="13"/>
      <c r="M202" s="13"/>
      <c r="N202" s="13"/>
      <c r="O202" s="13"/>
      <c r="P202" s="13"/>
      <c r="Q202" s="13"/>
      <c r="R202" s="153"/>
      <c r="S202" s="38"/>
    </row>
    <row r="203" spans="1:19" ht="34.5" customHeight="1" x14ac:dyDescent="0.3">
      <c r="A203" s="7"/>
      <c r="B203" s="56"/>
      <c r="C203" s="56"/>
      <c r="D203" s="56"/>
      <c r="E203" s="57"/>
      <c r="F203" s="67"/>
      <c r="G203" s="111"/>
      <c r="H203" s="67"/>
      <c r="I203" s="13"/>
      <c r="J203" s="13"/>
      <c r="K203" s="13"/>
      <c r="L203" s="13"/>
      <c r="M203" s="13"/>
      <c r="N203" s="13"/>
      <c r="O203" s="13"/>
      <c r="P203" s="13"/>
      <c r="Q203" s="13"/>
      <c r="R203" s="153"/>
      <c r="S203" s="38"/>
    </row>
    <row r="204" spans="1:19" s="18" customFormat="1" ht="30" customHeight="1" x14ac:dyDescent="0.3">
      <c r="A204" s="256" t="s">
        <v>32</v>
      </c>
      <c r="B204" s="256"/>
      <c r="C204" s="256"/>
      <c r="D204" s="256"/>
      <c r="E204" s="256"/>
      <c r="F204" s="256"/>
      <c r="G204" s="256"/>
      <c r="H204" s="256"/>
      <c r="I204" s="256"/>
      <c r="J204" s="256"/>
      <c r="K204" s="256"/>
      <c r="L204" s="256"/>
      <c r="M204" s="256"/>
      <c r="N204" s="256"/>
      <c r="O204" s="256"/>
      <c r="P204" s="256"/>
      <c r="Q204" s="256"/>
      <c r="R204" s="153"/>
      <c r="S204" s="38"/>
    </row>
    <row r="205" spans="1:19" s="18" customFormat="1" ht="30" customHeight="1" x14ac:dyDescent="0.3">
      <c r="A205" s="235" t="s">
        <v>0</v>
      </c>
      <c r="B205" s="235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5"/>
      <c r="N205" s="235"/>
      <c r="O205" s="235"/>
      <c r="P205" s="235"/>
      <c r="Q205" s="235"/>
      <c r="R205" s="153"/>
      <c r="S205" s="38"/>
    </row>
    <row r="206" spans="1:19" ht="30" customHeight="1" thickBot="1" x14ac:dyDescent="0.35">
      <c r="A206" s="235" t="s">
        <v>210</v>
      </c>
      <c r="B206" s="235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  <c r="O206" s="235"/>
      <c r="P206" s="235"/>
      <c r="Q206" s="235"/>
      <c r="R206" s="153"/>
      <c r="S206" s="38"/>
    </row>
    <row r="207" spans="1:19" s="22" customFormat="1" ht="24.75" customHeight="1" x14ac:dyDescent="0.3">
      <c r="A207" s="267" t="s">
        <v>82</v>
      </c>
      <c r="B207" s="264"/>
      <c r="C207" s="264"/>
      <c r="D207" s="264"/>
      <c r="E207" s="264"/>
      <c r="F207" s="264"/>
      <c r="G207" s="264"/>
      <c r="H207" s="264"/>
      <c r="I207" s="264"/>
      <c r="J207" s="264"/>
      <c r="K207" s="264"/>
      <c r="L207" s="264"/>
      <c r="M207" s="264"/>
      <c r="N207" s="264"/>
      <c r="O207" s="264"/>
      <c r="P207" s="264"/>
      <c r="Q207" s="264"/>
      <c r="R207" s="264"/>
      <c r="S207" s="162"/>
    </row>
    <row r="208" spans="1:19" s="22" customFormat="1" ht="24.9" customHeight="1" thickBot="1" x14ac:dyDescent="0.35">
      <c r="A208" s="269"/>
      <c r="B208" s="265"/>
      <c r="C208" s="265"/>
      <c r="D208" s="265"/>
      <c r="E208" s="265"/>
      <c r="F208" s="265"/>
      <c r="G208" s="265"/>
      <c r="H208" s="265"/>
      <c r="I208" s="265"/>
      <c r="J208" s="265"/>
      <c r="K208" s="265"/>
      <c r="L208" s="265"/>
      <c r="M208" s="265"/>
      <c r="N208" s="265"/>
      <c r="O208" s="265"/>
      <c r="P208" s="265"/>
      <c r="Q208" s="265"/>
      <c r="R208" s="265"/>
      <c r="S208" s="162"/>
    </row>
    <row r="209" spans="1:19" s="25" customFormat="1" ht="27.9" customHeight="1" x14ac:dyDescent="0.3">
      <c r="A209" s="236"/>
      <c r="B209" s="248" t="s">
        <v>2</v>
      </c>
      <c r="C209" s="245" t="s">
        <v>188</v>
      </c>
      <c r="D209" s="245" t="s">
        <v>189</v>
      </c>
      <c r="E209" s="248" t="s">
        <v>3</v>
      </c>
      <c r="F209" s="238" t="s">
        <v>4</v>
      </c>
      <c r="G209" s="250" t="s">
        <v>5</v>
      </c>
      <c r="H209" s="238" t="s">
        <v>6</v>
      </c>
      <c r="I209" s="238" t="s">
        <v>7</v>
      </c>
      <c r="J209" s="238" t="s">
        <v>8</v>
      </c>
      <c r="K209" s="238" t="s">
        <v>9</v>
      </c>
      <c r="L209" s="238" t="s">
        <v>10</v>
      </c>
      <c r="M209" s="238" t="s">
        <v>11</v>
      </c>
      <c r="N209" s="238" t="s">
        <v>12</v>
      </c>
      <c r="O209" s="238" t="s">
        <v>13</v>
      </c>
      <c r="P209" s="238" t="s">
        <v>14</v>
      </c>
      <c r="Q209" s="241" t="s">
        <v>15</v>
      </c>
      <c r="R209" s="300" t="s">
        <v>149</v>
      </c>
      <c r="S209" s="162"/>
    </row>
    <row r="210" spans="1:19" s="25" customFormat="1" ht="27.9" customHeight="1" thickBot="1" x14ac:dyDescent="0.35">
      <c r="A210" s="237"/>
      <c r="B210" s="271"/>
      <c r="C210" s="246"/>
      <c r="D210" s="246"/>
      <c r="E210" s="249"/>
      <c r="F210" s="239"/>
      <c r="G210" s="272"/>
      <c r="H210" s="239"/>
      <c r="I210" s="239"/>
      <c r="J210" s="239"/>
      <c r="K210" s="239"/>
      <c r="L210" s="239"/>
      <c r="M210" s="239"/>
      <c r="N210" s="240"/>
      <c r="O210" s="240"/>
      <c r="P210" s="239"/>
      <c r="Q210" s="242"/>
      <c r="R210" s="301"/>
      <c r="S210" s="162"/>
    </row>
    <row r="211" spans="1:19" s="9" customFormat="1" ht="39.9" customHeight="1" x14ac:dyDescent="0.3">
      <c r="A211" s="183">
        <v>210</v>
      </c>
      <c r="B211" s="4" t="s">
        <v>176</v>
      </c>
      <c r="C211" s="101" t="s">
        <v>275</v>
      </c>
      <c r="D211" s="101" t="s">
        <v>276</v>
      </c>
      <c r="E211" s="71" t="s">
        <v>55</v>
      </c>
      <c r="F211" s="70" t="s">
        <v>16</v>
      </c>
      <c r="G211" s="35">
        <v>45536</v>
      </c>
      <c r="H211" s="61">
        <v>286.58</v>
      </c>
      <c r="I211" s="53">
        <v>8716.7800000000007</v>
      </c>
      <c r="J211" s="62"/>
      <c r="K211" s="63">
        <f>+H211*45</f>
        <v>12896.099999999999</v>
      </c>
      <c r="L211" s="63">
        <f>+H211*20*0.25</f>
        <v>1432.8999999999999</v>
      </c>
      <c r="M211" s="61">
        <v>0</v>
      </c>
      <c r="N211" s="62"/>
      <c r="O211" s="61">
        <f>120.39*2</f>
        <v>240.78</v>
      </c>
      <c r="P211" s="62"/>
      <c r="Q211" s="64">
        <f>+I211+M211-O211</f>
        <v>8476</v>
      </c>
      <c r="R211" s="104">
        <f>+Q211/2</f>
        <v>4238</v>
      </c>
      <c r="S211" s="147"/>
    </row>
    <row r="212" spans="1:19" s="9" customFormat="1" ht="39.9" customHeight="1" x14ac:dyDescent="0.3">
      <c r="A212" s="183">
        <v>211</v>
      </c>
      <c r="B212" s="137" t="s">
        <v>128</v>
      </c>
      <c r="C212" s="101" t="s">
        <v>277</v>
      </c>
      <c r="D212" s="101" t="s">
        <v>278</v>
      </c>
      <c r="E212" s="66" t="s">
        <v>160</v>
      </c>
      <c r="F212" s="70" t="s">
        <v>17</v>
      </c>
      <c r="G212" s="35">
        <v>45536</v>
      </c>
      <c r="H212" s="61">
        <v>286.58</v>
      </c>
      <c r="I212" s="53">
        <v>8716.7800000000007</v>
      </c>
      <c r="J212" s="62"/>
      <c r="K212" s="63">
        <f>+H212*45</f>
        <v>12896.099999999999</v>
      </c>
      <c r="L212" s="63">
        <f>+H212*20*0.25</f>
        <v>1432.8999999999999</v>
      </c>
      <c r="M212" s="61">
        <v>0</v>
      </c>
      <c r="N212" s="62"/>
      <c r="O212" s="61">
        <f>120.39*2</f>
        <v>240.78</v>
      </c>
      <c r="P212" s="62"/>
      <c r="Q212" s="64">
        <f>+I212+M212-O212</f>
        <v>8476</v>
      </c>
      <c r="R212" s="104">
        <f>+Q212/2</f>
        <v>4238</v>
      </c>
      <c r="S212" s="147"/>
    </row>
    <row r="213" spans="1:19" s="9" customFormat="1" ht="39.9" customHeight="1" x14ac:dyDescent="0.3">
      <c r="A213" s="140">
        <v>212</v>
      </c>
      <c r="B213" s="138" t="s">
        <v>159</v>
      </c>
      <c r="C213" s="101" t="s">
        <v>279</v>
      </c>
      <c r="D213" s="101" t="s">
        <v>280</v>
      </c>
      <c r="E213" s="66" t="s">
        <v>160</v>
      </c>
      <c r="F213" s="77" t="s">
        <v>17</v>
      </c>
      <c r="G213" s="35">
        <v>45536</v>
      </c>
      <c r="H213" s="61">
        <v>286.58</v>
      </c>
      <c r="I213" s="53">
        <v>8716.7800000000007</v>
      </c>
      <c r="J213" s="62"/>
      <c r="K213" s="63">
        <f>+H213*45</f>
        <v>12896.099999999999</v>
      </c>
      <c r="L213" s="63">
        <f>+H213*20*0.25</f>
        <v>1432.8999999999999</v>
      </c>
      <c r="M213" s="61">
        <v>0</v>
      </c>
      <c r="N213" s="62"/>
      <c r="O213" s="61">
        <f>120.39*2</f>
        <v>240.78</v>
      </c>
      <c r="P213" s="62"/>
      <c r="Q213" s="64">
        <f>+I213+M213-O213</f>
        <v>8476</v>
      </c>
      <c r="R213" s="104">
        <f>+Q213/2</f>
        <v>4238</v>
      </c>
      <c r="S213" s="147"/>
    </row>
    <row r="214" spans="1:19" s="6" customFormat="1" ht="30" customHeight="1" thickBot="1" x14ac:dyDescent="0.35">
      <c r="A214" s="7"/>
      <c r="B214" s="56" t="s">
        <v>19</v>
      </c>
      <c r="C214" s="56"/>
      <c r="D214" s="56"/>
      <c r="E214" s="57"/>
      <c r="F214" s="4"/>
      <c r="G214" s="7"/>
      <c r="H214" s="4"/>
      <c r="I214" s="4"/>
      <c r="J214" s="4"/>
      <c r="K214" s="4"/>
      <c r="L214" s="4"/>
      <c r="M214" s="13"/>
      <c r="N214" s="13"/>
      <c r="O214" s="13"/>
      <c r="P214" s="13"/>
      <c r="Q214" s="13"/>
      <c r="R214" s="153"/>
      <c r="S214" s="38"/>
    </row>
    <row r="215" spans="1:19" s="6" customFormat="1" ht="30" customHeight="1" thickBot="1" x14ac:dyDescent="0.35">
      <c r="A215" s="7"/>
      <c r="B215" s="56" t="s">
        <v>20</v>
      </c>
      <c r="C215" s="56"/>
      <c r="D215" s="56"/>
      <c r="E215" s="57"/>
      <c r="F215" s="243" t="s">
        <v>18</v>
      </c>
      <c r="G215" s="244"/>
      <c r="H215" s="244"/>
      <c r="I215" s="17">
        <f t="shared" ref="I215:R215" si="38">SUM(I211:I213)</f>
        <v>26150.340000000004</v>
      </c>
      <c r="J215" s="17">
        <f t="shared" si="38"/>
        <v>0</v>
      </c>
      <c r="K215" s="17">
        <f t="shared" si="38"/>
        <v>38688.299999999996</v>
      </c>
      <c r="L215" s="17">
        <f t="shared" si="38"/>
        <v>4298.7</v>
      </c>
      <c r="M215" s="17">
        <f t="shared" si="38"/>
        <v>0</v>
      </c>
      <c r="N215" s="17">
        <f t="shared" si="38"/>
        <v>0</v>
      </c>
      <c r="O215" s="17">
        <f t="shared" si="38"/>
        <v>722.34</v>
      </c>
      <c r="P215" s="17">
        <f t="shared" si="38"/>
        <v>0</v>
      </c>
      <c r="Q215" s="17">
        <f t="shared" si="38"/>
        <v>25428</v>
      </c>
      <c r="R215" s="17">
        <f t="shared" si="38"/>
        <v>12714</v>
      </c>
      <c r="S215" s="164"/>
    </row>
    <row r="216" spans="1:19" ht="30" customHeight="1" thickBot="1" x14ac:dyDescent="0.35">
      <c r="A216" s="9"/>
      <c r="B216" s="56" t="s">
        <v>21</v>
      </c>
      <c r="C216" s="56"/>
      <c r="D216" s="56"/>
      <c r="E216" s="56"/>
      <c r="F216" s="231" t="s">
        <v>484</v>
      </c>
      <c r="G216" s="232"/>
      <c r="H216" s="232"/>
      <c r="I216" s="207">
        <f>+I215*12</f>
        <v>313804.08000000007</v>
      </c>
      <c r="J216" s="205">
        <f t="shared" ref="J216:R216" si="39">+J215*12</f>
        <v>0</v>
      </c>
      <c r="K216" s="207">
        <f>+K215</f>
        <v>38688.299999999996</v>
      </c>
      <c r="L216" s="205">
        <f>+L215</f>
        <v>4298.7</v>
      </c>
      <c r="M216" s="207">
        <f t="shared" si="39"/>
        <v>0</v>
      </c>
      <c r="N216" s="205">
        <f t="shared" si="39"/>
        <v>0</v>
      </c>
      <c r="O216" s="207">
        <f t="shared" si="39"/>
        <v>8668.08</v>
      </c>
      <c r="P216" s="205">
        <f t="shared" si="39"/>
        <v>0</v>
      </c>
      <c r="Q216" s="207">
        <f t="shared" si="39"/>
        <v>305136</v>
      </c>
      <c r="R216" s="206">
        <f t="shared" si="39"/>
        <v>152568</v>
      </c>
      <c r="S216" s="38"/>
    </row>
    <row r="217" spans="1:19" ht="30" customHeight="1" x14ac:dyDescent="0.3">
      <c r="A217" s="9"/>
      <c r="B217" s="56" t="s">
        <v>22</v>
      </c>
      <c r="C217" s="56"/>
      <c r="D217" s="56"/>
      <c r="E217" s="56"/>
      <c r="F217" s="59"/>
      <c r="G217" s="10"/>
      <c r="H217" s="59"/>
      <c r="I217" s="60"/>
      <c r="J217" s="60"/>
      <c r="K217" s="60"/>
      <c r="L217" s="60"/>
      <c r="M217" s="60"/>
      <c r="N217" s="60"/>
      <c r="O217" s="60"/>
      <c r="P217" s="60"/>
      <c r="Q217" s="60"/>
      <c r="R217" s="153"/>
      <c r="S217" s="38"/>
    </row>
    <row r="218" spans="1:19" ht="30" customHeight="1" x14ac:dyDescent="0.3">
      <c r="A218" s="9"/>
      <c r="B218" s="56" t="s">
        <v>23</v>
      </c>
      <c r="C218" s="56"/>
      <c r="D218" s="56"/>
      <c r="E218" s="56"/>
      <c r="F218" s="59"/>
      <c r="G218" s="10"/>
      <c r="H218" s="59"/>
      <c r="I218" s="60"/>
      <c r="J218" s="60"/>
      <c r="K218" s="60"/>
      <c r="L218" s="60"/>
      <c r="M218" s="60"/>
      <c r="N218" s="60"/>
      <c r="O218" s="60"/>
      <c r="P218" s="60"/>
      <c r="Q218" s="60"/>
      <c r="R218" s="153"/>
      <c r="S218" s="38"/>
    </row>
    <row r="219" spans="1:19" ht="30" customHeight="1" x14ac:dyDescent="0.3">
      <c r="A219" s="9"/>
      <c r="B219" s="56"/>
      <c r="C219" s="56"/>
      <c r="D219" s="56"/>
      <c r="E219" s="56"/>
      <c r="F219" s="59"/>
      <c r="G219" s="10"/>
      <c r="H219" s="59"/>
      <c r="I219" s="60"/>
      <c r="J219" s="60"/>
      <c r="K219" s="60"/>
      <c r="L219" s="60"/>
      <c r="M219" s="60"/>
      <c r="N219" s="60"/>
      <c r="O219" s="60"/>
      <c r="P219" s="60"/>
      <c r="Q219" s="60"/>
      <c r="R219" s="153"/>
      <c r="S219" s="38"/>
    </row>
    <row r="220" spans="1:19" s="18" customFormat="1" ht="30" customHeight="1" x14ac:dyDescent="0.3">
      <c r="A220" s="256" t="s">
        <v>32</v>
      </c>
      <c r="B220" s="256"/>
      <c r="C220" s="256"/>
      <c r="D220" s="256"/>
      <c r="E220" s="256"/>
      <c r="F220" s="256"/>
      <c r="G220" s="256"/>
      <c r="H220" s="256"/>
      <c r="I220" s="256"/>
      <c r="J220" s="256"/>
      <c r="K220" s="256"/>
      <c r="L220" s="256"/>
      <c r="M220" s="256"/>
      <c r="N220" s="256"/>
      <c r="O220" s="256"/>
      <c r="P220" s="256"/>
      <c r="Q220" s="256"/>
      <c r="R220" s="153"/>
      <c r="S220" s="38"/>
    </row>
    <row r="221" spans="1:19" s="18" customFormat="1" ht="30" customHeight="1" x14ac:dyDescent="0.3">
      <c r="A221" s="235" t="s">
        <v>0</v>
      </c>
      <c r="B221" s="235"/>
      <c r="C221" s="235"/>
      <c r="D221" s="235"/>
      <c r="E221" s="235"/>
      <c r="F221" s="235"/>
      <c r="G221" s="235"/>
      <c r="H221" s="235"/>
      <c r="I221" s="235"/>
      <c r="J221" s="235"/>
      <c r="K221" s="235"/>
      <c r="L221" s="235"/>
      <c r="M221" s="235"/>
      <c r="N221" s="235"/>
      <c r="O221" s="235"/>
      <c r="P221" s="235"/>
      <c r="Q221" s="235"/>
      <c r="R221" s="153"/>
      <c r="S221" s="38"/>
    </row>
    <row r="222" spans="1:19" ht="30" customHeight="1" thickBot="1" x14ac:dyDescent="0.35">
      <c r="A222" s="235" t="s">
        <v>210</v>
      </c>
      <c r="B222" s="235"/>
      <c r="C222" s="235"/>
      <c r="D222" s="235"/>
      <c r="E222" s="235"/>
      <c r="F222" s="235"/>
      <c r="G222" s="235"/>
      <c r="H222" s="235"/>
      <c r="I222" s="235"/>
      <c r="J222" s="235"/>
      <c r="K222" s="235"/>
      <c r="L222" s="235"/>
      <c r="M222" s="235"/>
      <c r="N222" s="235"/>
      <c r="O222" s="235"/>
      <c r="P222" s="235"/>
      <c r="Q222" s="235"/>
      <c r="R222" s="153"/>
      <c r="S222" s="38"/>
    </row>
    <row r="223" spans="1:19" s="5" customFormat="1" ht="24.9" customHeight="1" x14ac:dyDescent="0.3">
      <c r="A223" s="115"/>
      <c r="B223" s="305" t="s">
        <v>489</v>
      </c>
      <c r="C223" s="306"/>
      <c r="D223" s="306"/>
      <c r="E223" s="306"/>
      <c r="F223" s="306"/>
      <c r="G223" s="306"/>
      <c r="H223" s="306"/>
      <c r="I223" s="306"/>
      <c r="J223" s="306"/>
      <c r="K223" s="306"/>
      <c r="L223" s="306"/>
      <c r="M223" s="306"/>
      <c r="N223" s="306"/>
      <c r="O223" s="306"/>
      <c r="P223" s="306"/>
      <c r="Q223" s="306"/>
      <c r="R223" s="306"/>
      <c r="S223" s="161"/>
    </row>
    <row r="224" spans="1:19" s="5" customFormat="1" ht="24.9" customHeight="1" thickBot="1" x14ac:dyDescent="0.35">
      <c r="A224" s="116"/>
      <c r="B224" s="307"/>
      <c r="C224" s="308"/>
      <c r="D224" s="308"/>
      <c r="E224" s="308"/>
      <c r="F224" s="308"/>
      <c r="G224" s="308"/>
      <c r="H224" s="308"/>
      <c r="I224" s="308"/>
      <c r="J224" s="308"/>
      <c r="K224" s="308"/>
      <c r="L224" s="308"/>
      <c r="M224" s="308"/>
      <c r="N224" s="308"/>
      <c r="O224" s="308"/>
      <c r="P224" s="308"/>
      <c r="Q224" s="308"/>
      <c r="R224" s="308"/>
      <c r="S224" s="161"/>
    </row>
    <row r="225" spans="1:19" s="25" customFormat="1" ht="27.9" customHeight="1" x14ac:dyDescent="0.3">
      <c r="A225" s="236"/>
      <c r="B225" s="248" t="s">
        <v>2</v>
      </c>
      <c r="C225" s="245" t="s">
        <v>188</v>
      </c>
      <c r="D225" s="245" t="s">
        <v>189</v>
      </c>
      <c r="E225" s="248" t="s">
        <v>3</v>
      </c>
      <c r="F225" s="238" t="s">
        <v>4</v>
      </c>
      <c r="G225" s="250" t="s">
        <v>5</v>
      </c>
      <c r="H225" s="238" t="s">
        <v>6</v>
      </c>
      <c r="I225" s="238" t="s">
        <v>7</v>
      </c>
      <c r="J225" s="238" t="s">
        <v>8</v>
      </c>
      <c r="K225" s="238" t="s">
        <v>9</v>
      </c>
      <c r="L225" s="238" t="s">
        <v>10</v>
      </c>
      <c r="M225" s="238" t="s">
        <v>11</v>
      </c>
      <c r="N225" s="238" t="s">
        <v>12</v>
      </c>
      <c r="O225" s="238" t="s">
        <v>13</v>
      </c>
      <c r="P225" s="238" t="s">
        <v>14</v>
      </c>
      <c r="Q225" s="241" t="s">
        <v>15</v>
      </c>
      <c r="R225" s="300" t="s">
        <v>149</v>
      </c>
      <c r="S225" s="162"/>
    </row>
    <row r="226" spans="1:19" s="25" customFormat="1" ht="27.9" customHeight="1" thickBot="1" x14ac:dyDescent="0.35">
      <c r="A226" s="257"/>
      <c r="B226" s="259"/>
      <c r="C226" s="246"/>
      <c r="D226" s="246"/>
      <c r="E226" s="260"/>
      <c r="F226" s="262"/>
      <c r="G226" s="251"/>
      <c r="H226" s="239"/>
      <c r="I226" s="239"/>
      <c r="J226" s="239"/>
      <c r="K226" s="239"/>
      <c r="L226" s="239"/>
      <c r="M226" s="239"/>
      <c r="N226" s="240"/>
      <c r="O226" s="240"/>
      <c r="P226" s="239"/>
      <c r="Q226" s="242"/>
      <c r="R226" s="302"/>
      <c r="S226" s="162"/>
    </row>
    <row r="227" spans="1:19" s="25" customFormat="1" ht="39.9" customHeight="1" x14ac:dyDescent="0.3">
      <c r="A227" s="141">
        <v>213</v>
      </c>
      <c r="B227" s="142" t="s">
        <v>178</v>
      </c>
      <c r="C227" s="101" t="s">
        <v>284</v>
      </c>
      <c r="D227" s="101" t="s">
        <v>285</v>
      </c>
      <c r="E227" s="127" t="s">
        <v>161</v>
      </c>
      <c r="F227" s="143" t="s">
        <v>17</v>
      </c>
      <c r="G227" s="131">
        <v>45536</v>
      </c>
      <c r="H227" s="61">
        <v>286.58</v>
      </c>
      <c r="I227" s="53">
        <v>8716.7800000000007</v>
      </c>
      <c r="J227" s="62"/>
      <c r="K227" s="63">
        <f t="shared" ref="K227:K236" si="40">+H227*45</f>
        <v>12896.099999999999</v>
      </c>
      <c r="L227" s="63">
        <f t="shared" ref="L227:L236" si="41">+H227*20*0.25</f>
        <v>1432.8999999999999</v>
      </c>
      <c r="M227" s="61">
        <v>0</v>
      </c>
      <c r="N227" s="62"/>
      <c r="O227" s="61">
        <f>120.39*2</f>
        <v>240.78</v>
      </c>
      <c r="P227" s="62"/>
      <c r="Q227" s="64">
        <f>+I227+M227-O227</f>
        <v>8476</v>
      </c>
      <c r="R227" s="104">
        <f t="shared" ref="R227:R236" si="42">+Q227/2</f>
        <v>4238</v>
      </c>
      <c r="S227" s="147"/>
    </row>
    <row r="228" spans="1:19" s="25" customFormat="1" ht="39.9" customHeight="1" x14ac:dyDescent="0.3">
      <c r="A228" s="141">
        <v>223</v>
      </c>
      <c r="B228" s="142" t="s">
        <v>166</v>
      </c>
      <c r="C228" s="101" t="s">
        <v>286</v>
      </c>
      <c r="D228" s="101" t="s">
        <v>287</v>
      </c>
      <c r="E228" s="127" t="s">
        <v>304</v>
      </c>
      <c r="F228" s="144" t="s">
        <v>16</v>
      </c>
      <c r="G228" s="131">
        <v>45551</v>
      </c>
      <c r="H228" s="61">
        <v>557.64250000000004</v>
      </c>
      <c r="I228" s="63">
        <f>8476*2</f>
        <v>16952</v>
      </c>
      <c r="J228" s="62"/>
      <c r="K228" s="63">
        <f t="shared" si="40"/>
        <v>25093.912500000002</v>
      </c>
      <c r="L228" s="63">
        <f t="shared" si="41"/>
        <v>2788.2125000000001</v>
      </c>
      <c r="M228" s="61">
        <v>0</v>
      </c>
      <c r="N228" s="78"/>
      <c r="O228" s="61">
        <f>976*2</f>
        <v>1952</v>
      </c>
      <c r="P228" s="62"/>
      <c r="Q228" s="64">
        <f>+I228-O228</f>
        <v>15000</v>
      </c>
      <c r="R228" s="104">
        <f t="shared" si="42"/>
        <v>7500</v>
      </c>
      <c r="S228" s="147"/>
    </row>
    <row r="229" spans="1:19" s="25" customFormat="1" ht="39.9" customHeight="1" x14ac:dyDescent="0.3">
      <c r="A229" s="141">
        <v>214</v>
      </c>
      <c r="B229" s="142" t="s">
        <v>177</v>
      </c>
      <c r="C229" s="101" t="s">
        <v>288</v>
      </c>
      <c r="D229" s="101" t="s">
        <v>289</v>
      </c>
      <c r="E229" s="127" t="s">
        <v>161</v>
      </c>
      <c r="F229" s="143" t="s">
        <v>17</v>
      </c>
      <c r="G229" s="131">
        <v>45536</v>
      </c>
      <c r="H229" s="61">
        <v>286.58</v>
      </c>
      <c r="I229" s="53">
        <v>8716.7800000000007</v>
      </c>
      <c r="J229" s="62"/>
      <c r="K229" s="63">
        <f t="shared" si="40"/>
        <v>12896.099999999999</v>
      </c>
      <c r="L229" s="63">
        <f t="shared" si="41"/>
        <v>1432.8999999999999</v>
      </c>
      <c r="M229" s="61">
        <v>0</v>
      </c>
      <c r="N229" s="62"/>
      <c r="O229" s="61">
        <f t="shared" ref="O229:O236" si="43">120.39*2</f>
        <v>240.78</v>
      </c>
      <c r="P229" s="62"/>
      <c r="Q229" s="64">
        <f t="shared" ref="Q229:Q236" si="44">+I229+M229-O229</f>
        <v>8476</v>
      </c>
      <c r="R229" s="104">
        <f t="shared" si="42"/>
        <v>4238</v>
      </c>
      <c r="S229" s="147"/>
    </row>
    <row r="230" spans="1:19" s="25" customFormat="1" ht="39.9" customHeight="1" x14ac:dyDescent="0.3">
      <c r="A230" s="141">
        <v>215</v>
      </c>
      <c r="B230" s="142" t="s">
        <v>130</v>
      </c>
      <c r="C230" s="101" t="s">
        <v>290</v>
      </c>
      <c r="D230" s="101" t="s">
        <v>291</v>
      </c>
      <c r="E230" s="127" t="s">
        <v>161</v>
      </c>
      <c r="F230" s="143" t="s">
        <v>17</v>
      </c>
      <c r="G230" s="131">
        <v>45536</v>
      </c>
      <c r="H230" s="61">
        <v>286.58</v>
      </c>
      <c r="I230" s="53">
        <v>8716.7800000000007</v>
      </c>
      <c r="J230" s="62"/>
      <c r="K230" s="63">
        <f t="shared" si="40"/>
        <v>12896.099999999999</v>
      </c>
      <c r="L230" s="63">
        <f t="shared" si="41"/>
        <v>1432.8999999999999</v>
      </c>
      <c r="M230" s="61">
        <v>0</v>
      </c>
      <c r="N230" s="62"/>
      <c r="O230" s="61">
        <f t="shared" si="43"/>
        <v>240.78</v>
      </c>
      <c r="P230" s="62"/>
      <c r="Q230" s="64">
        <f t="shared" si="44"/>
        <v>8476</v>
      </c>
      <c r="R230" s="104">
        <f t="shared" si="42"/>
        <v>4238</v>
      </c>
      <c r="S230" s="147"/>
    </row>
    <row r="231" spans="1:19" s="25" customFormat="1" ht="39.9" customHeight="1" x14ac:dyDescent="0.3">
      <c r="A231" s="141">
        <v>216</v>
      </c>
      <c r="B231" s="142" t="s">
        <v>131</v>
      </c>
      <c r="C231" s="101" t="s">
        <v>292</v>
      </c>
      <c r="D231" s="101" t="s">
        <v>293</v>
      </c>
      <c r="E231" s="127" t="s">
        <v>161</v>
      </c>
      <c r="F231" s="143" t="s">
        <v>17</v>
      </c>
      <c r="G231" s="131">
        <v>45536</v>
      </c>
      <c r="H231" s="61">
        <v>286.58</v>
      </c>
      <c r="I231" s="53">
        <v>8716.7800000000007</v>
      </c>
      <c r="J231" s="62"/>
      <c r="K231" s="63">
        <f t="shared" si="40"/>
        <v>12896.099999999999</v>
      </c>
      <c r="L231" s="63">
        <f t="shared" si="41"/>
        <v>1432.8999999999999</v>
      </c>
      <c r="M231" s="61">
        <v>0</v>
      </c>
      <c r="N231" s="62"/>
      <c r="O231" s="61">
        <f t="shared" si="43"/>
        <v>240.78</v>
      </c>
      <c r="P231" s="62"/>
      <c r="Q231" s="64">
        <f t="shared" si="44"/>
        <v>8476</v>
      </c>
      <c r="R231" s="104">
        <f t="shared" si="42"/>
        <v>4238</v>
      </c>
      <c r="S231" s="147"/>
    </row>
    <row r="232" spans="1:19" s="25" customFormat="1" ht="39.9" customHeight="1" x14ac:dyDescent="0.3">
      <c r="A232" s="141">
        <v>217</v>
      </c>
      <c r="B232" s="142" t="s">
        <v>132</v>
      </c>
      <c r="C232" s="101" t="s">
        <v>294</v>
      </c>
      <c r="D232" s="101" t="s">
        <v>295</v>
      </c>
      <c r="E232" s="127" t="s">
        <v>161</v>
      </c>
      <c r="F232" s="143" t="s">
        <v>17</v>
      </c>
      <c r="G232" s="131">
        <v>45536</v>
      </c>
      <c r="H232" s="61">
        <v>286.58</v>
      </c>
      <c r="I232" s="53">
        <v>8716.7800000000007</v>
      </c>
      <c r="J232" s="62"/>
      <c r="K232" s="63">
        <f t="shared" si="40"/>
        <v>12896.099999999999</v>
      </c>
      <c r="L232" s="63">
        <f t="shared" si="41"/>
        <v>1432.8999999999999</v>
      </c>
      <c r="M232" s="61">
        <v>0</v>
      </c>
      <c r="N232" s="62"/>
      <c r="O232" s="61">
        <f t="shared" si="43"/>
        <v>240.78</v>
      </c>
      <c r="P232" s="62"/>
      <c r="Q232" s="64">
        <f t="shared" si="44"/>
        <v>8476</v>
      </c>
      <c r="R232" s="104">
        <f t="shared" si="42"/>
        <v>4238</v>
      </c>
      <c r="S232" s="147"/>
    </row>
    <row r="233" spans="1:19" s="25" customFormat="1" ht="39.9" customHeight="1" x14ac:dyDescent="0.3">
      <c r="A233" s="141">
        <v>218</v>
      </c>
      <c r="B233" s="142" t="s">
        <v>129</v>
      </c>
      <c r="C233" s="101" t="s">
        <v>296</v>
      </c>
      <c r="D233" s="101" t="s">
        <v>297</v>
      </c>
      <c r="E233" s="127" t="s">
        <v>155</v>
      </c>
      <c r="F233" s="143" t="s">
        <v>17</v>
      </c>
      <c r="G233" s="131">
        <v>45536</v>
      </c>
      <c r="H233" s="61">
        <v>286.58</v>
      </c>
      <c r="I233" s="53">
        <v>8716.7800000000007</v>
      </c>
      <c r="J233" s="62"/>
      <c r="K233" s="63">
        <f t="shared" si="40"/>
        <v>12896.099999999999</v>
      </c>
      <c r="L233" s="63">
        <f t="shared" si="41"/>
        <v>1432.8999999999999</v>
      </c>
      <c r="M233" s="61">
        <v>0</v>
      </c>
      <c r="N233" s="62"/>
      <c r="O233" s="61">
        <f t="shared" si="43"/>
        <v>240.78</v>
      </c>
      <c r="P233" s="62"/>
      <c r="Q233" s="64">
        <f t="shared" si="44"/>
        <v>8476</v>
      </c>
      <c r="R233" s="104">
        <f t="shared" si="42"/>
        <v>4238</v>
      </c>
      <c r="S233" s="147"/>
    </row>
    <row r="234" spans="1:19" s="25" customFormat="1" ht="39.9" customHeight="1" x14ac:dyDescent="0.3">
      <c r="A234" s="101">
        <v>229</v>
      </c>
      <c r="B234" s="127" t="s">
        <v>281</v>
      </c>
      <c r="C234" s="101" t="s">
        <v>298</v>
      </c>
      <c r="D234" s="101" t="s">
        <v>299</v>
      </c>
      <c r="E234" s="127" t="s">
        <v>161</v>
      </c>
      <c r="F234" s="143" t="s">
        <v>17</v>
      </c>
      <c r="G234" s="131">
        <v>45566</v>
      </c>
      <c r="H234" s="61">
        <v>286.58</v>
      </c>
      <c r="I234" s="53">
        <v>8716.7800000000007</v>
      </c>
      <c r="J234" s="62"/>
      <c r="K234" s="63">
        <f t="shared" si="40"/>
        <v>12896.099999999999</v>
      </c>
      <c r="L234" s="63">
        <f t="shared" si="41"/>
        <v>1432.8999999999999</v>
      </c>
      <c r="M234" s="61">
        <v>0</v>
      </c>
      <c r="N234" s="62"/>
      <c r="O234" s="61">
        <f t="shared" si="43"/>
        <v>240.78</v>
      </c>
      <c r="P234" s="62"/>
      <c r="Q234" s="64">
        <f t="shared" si="44"/>
        <v>8476</v>
      </c>
      <c r="R234" s="104">
        <f t="shared" si="42"/>
        <v>4238</v>
      </c>
      <c r="S234" s="147"/>
    </row>
    <row r="235" spans="1:19" s="25" customFormat="1" ht="39.9" customHeight="1" x14ac:dyDescent="0.3">
      <c r="A235" s="101">
        <v>230</v>
      </c>
      <c r="B235" s="127" t="s">
        <v>282</v>
      </c>
      <c r="C235" s="101" t="s">
        <v>300</v>
      </c>
      <c r="D235" s="101" t="s">
        <v>301</v>
      </c>
      <c r="E235" s="127" t="s">
        <v>161</v>
      </c>
      <c r="F235" s="143" t="s">
        <v>17</v>
      </c>
      <c r="G235" s="131">
        <v>45566</v>
      </c>
      <c r="H235" s="61">
        <v>286.58</v>
      </c>
      <c r="I235" s="53">
        <v>8716.7800000000007</v>
      </c>
      <c r="J235" s="62"/>
      <c r="K235" s="63">
        <f t="shared" si="40"/>
        <v>12896.099999999999</v>
      </c>
      <c r="L235" s="63">
        <f t="shared" si="41"/>
        <v>1432.8999999999999</v>
      </c>
      <c r="M235" s="61">
        <v>0</v>
      </c>
      <c r="N235" s="62"/>
      <c r="O235" s="61">
        <f t="shared" si="43"/>
        <v>240.78</v>
      </c>
      <c r="P235" s="62"/>
      <c r="Q235" s="64">
        <f t="shared" si="44"/>
        <v>8476</v>
      </c>
      <c r="R235" s="104">
        <f t="shared" si="42"/>
        <v>4238</v>
      </c>
      <c r="S235" s="147"/>
    </row>
    <row r="236" spans="1:19" s="25" customFormat="1" ht="39.9" customHeight="1" x14ac:dyDescent="0.3">
      <c r="A236" s="101">
        <v>231</v>
      </c>
      <c r="B236" s="127" t="s">
        <v>283</v>
      </c>
      <c r="C236" s="101" t="s">
        <v>302</v>
      </c>
      <c r="D236" s="101" t="s">
        <v>303</v>
      </c>
      <c r="E236" s="127" t="s">
        <v>161</v>
      </c>
      <c r="F236" s="143" t="s">
        <v>17</v>
      </c>
      <c r="G236" s="131">
        <v>45566</v>
      </c>
      <c r="H236" s="61">
        <v>286.58</v>
      </c>
      <c r="I236" s="53">
        <v>8716.7800000000007</v>
      </c>
      <c r="J236" s="62"/>
      <c r="K236" s="63">
        <f t="shared" si="40"/>
        <v>12896.099999999999</v>
      </c>
      <c r="L236" s="63">
        <f t="shared" si="41"/>
        <v>1432.8999999999999</v>
      </c>
      <c r="M236" s="61">
        <v>0</v>
      </c>
      <c r="N236" s="62"/>
      <c r="O236" s="61">
        <f t="shared" si="43"/>
        <v>240.78</v>
      </c>
      <c r="P236" s="62"/>
      <c r="Q236" s="64">
        <f t="shared" si="44"/>
        <v>8476</v>
      </c>
      <c r="R236" s="104">
        <f t="shared" si="42"/>
        <v>4238</v>
      </c>
      <c r="S236" s="147"/>
    </row>
    <row r="237" spans="1:19" s="6" customFormat="1" ht="30" customHeight="1" thickBot="1" x14ac:dyDescent="0.35">
      <c r="A237" s="7"/>
      <c r="B237" s="56" t="s">
        <v>19</v>
      </c>
      <c r="C237" s="56"/>
      <c r="D237" s="56"/>
      <c r="E237" s="57"/>
      <c r="F237" s="4"/>
      <c r="G237" s="7"/>
      <c r="H237" s="4"/>
      <c r="I237" s="4"/>
      <c r="J237" s="4"/>
      <c r="K237" s="4"/>
      <c r="L237" s="4"/>
      <c r="M237" s="13"/>
      <c r="N237" s="13"/>
      <c r="O237" s="13"/>
      <c r="P237" s="13"/>
      <c r="Q237" s="13"/>
      <c r="R237" s="153"/>
      <c r="S237" s="38"/>
    </row>
    <row r="238" spans="1:19" s="6" customFormat="1" ht="30" customHeight="1" thickBot="1" x14ac:dyDescent="0.35">
      <c r="A238" s="7"/>
      <c r="B238" s="56" t="s">
        <v>20</v>
      </c>
      <c r="C238" s="56"/>
      <c r="D238" s="56"/>
      <c r="E238" s="57"/>
      <c r="F238" s="243" t="s">
        <v>18</v>
      </c>
      <c r="G238" s="244"/>
      <c r="H238" s="244"/>
      <c r="I238" s="152">
        <f t="shared" ref="I238:Q238" si="45">SUM(I227:I236)</f>
        <v>95403.01999999999</v>
      </c>
      <c r="J238" s="152">
        <f t="shared" si="45"/>
        <v>0</v>
      </c>
      <c r="K238" s="152">
        <f t="shared" si="45"/>
        <v>141158.81250000003</v>
      </c>
      <c r="L238" s="152">
        <f t="shared" si="45"/>
        <v>15684.312499999998</v>
      </c>
      <c r="M238" s="152">
        <f t="shared" si="45"/>
        <v>0</v>
      </c>
      <c r="N238" s="152">
        <f t="shared" si="45"/>
        <v>0</v>
      </c>
      <c r="O238" s="152">
        <f t="shared" si="45"/>
        <v>4119.0200000000013</v>
      </c>
      <c r="P238" s="152">
        <f t="shared" si="45"/>
        <v>0</v>
      </c>
      <c r="Q238" s="152">
        <f t="shared" si="45"/>
        <v>91284</v>
      </c>
      <c r="R238" s="152">
        <f>SUM(R227:R236)</f>
        <v>45642</v>
      </c>
      <c r="S238" s="164"/>
    </row>
    <row r="239" spans="1:19" ht="30" customHeight="1" thickBot="1" x14ac:dyDescent="0.35">
      <c r="A239" s="9"/>
      <c r="B239" s="56" t="s">
        <v>21</v>
      </c>
      <c r="C239" s="56"/>
      <c r="D239" s="56"/>
      <c r="E239" s="56"/>
      <c r="F239" s="233" t="s">
        <v>484</v>
      </c>
      <c r="G239" s="234"/>
      <c r="H239" s="234"/>
      <c r="I239" s="195">
        <f>+I238*12</f>
        <v>1144836.2399999998</v>
      </c>
      <c r="J239" s="193">
        <f t="shared" ref="J239:R239" si="46">+J238*12</f>
        <v>0</v>
      </c>
      <c r="K239" s="195">
        <f>+K238</f>
        <v>141158.81250000003</v>
      </c>
      <c r="L239" s="193">
        <f>+L238</f>
        <v>15684.312499999998</v>
      </c>
      <c r="M239" s="195">
        <f t="shared" si="46"/>
        <v>0</v>
      </c>
      <c r="N239" s="193">
        <f t="shared" si="46"/>
        <v>0</v>
      </c>
      <c r="O239" s="195">
        <f t="shared" si="46"/>
        <v>49428.24000000002</v>
      </c>
      <c r="P239" s="193">
        <f t="shared" si="46"/>
        <v>0</v>
      </c>
      <c r="Q239" s="195">
        <f t="shared" si="46"/>
        <v>1095408</v>
      </c>
      <c r="R239" s="194">
        <f t="shared" si="46"/>
        <v>547704</v>
      </c>
      <c r="S239" s="38"/>
    </row>
    <row r="240" spans="1:19" ht="30" customHeight="1" x14ac:dyDescent="0.3">
      <c r="A240" s="9"/>
      <c r="B240" s="56" t="s">
        <v>22</v>
      </c>
      <c r="C240" s="56"/>
      <c r="D240" s="56"/>
      <c r="E240" s="56"/>
      <c r="F240" s="59"/>
      <c r="G240" s="10"/>
      <c r="H240" s="59"/>
      <c r="I240" s="60"/>
      <c r="J240" s="60"/>
      <c r="K240" s="60"/>
      <c r="L240" s="60"/>
      <c r="M240" s="60"/>
      <c r="N240" s="60"/>
      <c r="O240" s="60"/>
      <c r="P240" s="60" t="s">
        <v>84</v>
      </c>
      <c r="Q240" s="60"/>
      <c r="R240" s="153"/>
      <c r="S240" s="38"/>
    </row>
    <row r="241" spans="1:19" ht="30" customHeight="1" x14ac:dyDescent="0.3">
      <c r="A241" s="9"/>
      <c r="B241" s="56" t="s">
        <v>23</v>
      </c>
      <c r="C241" s="56"/>
      <c r="D241" s="56"/>
      <c r="E241" s="56"/>
      <c r="F241" s="59"/>
      <c r="G241" s="10"/>
      <c r="H241" s="59"/>
      <c r="I241" s="60"/>
      <c r="J241" s="60"/>
      <c r="K241" s="60"/>
      <c r="L241" s="60"/>
      <c r="M241" s="60"/>
      <c r="N241" s="60"/>
      <c r="O241" s="60"/>
      <c r="P241" s="60"/>
      <c r="Q241" s="60"/>
      <c r="R241" s="153"/>
      <c r="S241" s="38"/>
    </row>
    <row r="242" spans="1:19" ht="30" customHeight="1" x14ac:dyDescent="0.3">
      <c r="A242" s="9"/>
      <c r="B242" s="56"/>
      <c r="C242" s="56"/>
      <c r="D242" s="56"/>
      <c r="E242" s="56"/>
      <c r="F242" s="59"/>
      <c r="G242" s="10"/>
      <c r="H242" s="59"/>
      <c r="I242" s="60"/>
      <c r="J242" s="60"/>
      <c r="K242" s="60"/>
      <c r="L242" s="60"/>
      <c r="M242" s="60"/>
      <c r="N242" s="60"/>
      <c r="O242" s="60"/>
      <c r="P242" s="60"/>
      <c r="Q242" s="60"/>
      <c r="R242" s="153"/>
      <c r="S242" s="38"/>
    </row>
    <row r="243" spans="1:19" s="18" customFormat="1" ht="30" customHeight="1" x14ac:dyDescent="0.3">
      <c r="A243" s="256" t="s">
        <v>32</v>
      </c>
      <c r="B243" s="256"/>
      <c r="C243" s="256"/>
      <c r="D243" s="256"/>
      <c r="E243" s="256"/>
      <c r="F243" s="256"/>
      <c r="G243" s="256"/>
      <c r="H243" s="256"/>
      <c r="I243" s="256"/>
      <c r="J243" s="256"/>
      <c r="K243" s="256"/>
      <c r="L243" s="256"/>
      <c r="M243" s="256"/>
      <c r="N243" s="256"/>
      <c r="O243" s="256"/>
      <c r="P243" s="256"/>
      <c r="Q243" s="256"/>
      <c r="R243" s="153"/>
      <c r="S243" s="38"/>
    </row>
    <row r="244" spans="1:19" s="18" customFormat="1" ht="30" customHeight="1" x14ac:dyDescent="0.3">
      <c r="A244" s="235" t="s">
        <v>0</v>
      </c>
      <c r="B244" s="235"/>
      <c r="C244" s="235"/>
      <c r="D244" s="235"/>
      <c r="E244" s="235"/>
      <c r="F244" s="235"/>
      <c r="G244" s="235"/>
      <c r="H244" s="235"/>
      <c r="I244" s="235"/>
      <c r="J244" s="235"/>
      <c r="K244" s="235"/>
      <c r="L244" s="235"/>
      <c r="M244" s="235"/>
      <c r="N244" s="235"/>
      <c r="O244" s="235"/>
      <c r="P244" s="235"/>
      <c r="Q244" s="235"/>
      <c r="R244" s="153"/>
      <c r="S244" s="38"/>
    </row>
    <row r="245" spans="1:19" ht="30" customHeight="1" thickBot="1" x14ac:dyDescent="0.35">
      <c r="A245" s="235" t="s">
        <v>210</v>
      </c>
      <c r="B245" s="235"/>
      <c r="C245" s="235"/>
      <c r="D245" s="235"/>
      <c r="E245" s="235"/>
      <c r="F245" s="235"/>
      <c r="G245" s="235"/>
      <c r="H245" s="235"/>
      <c r="I245" s="235"/>
      <c r="J245" s="235"/>
      <c r="K245" s="235"/>
      <c r="L245" s="235"/>
      <c r="M245" s="235"/>
      <c r="N245" s="235"/>
      <c r="O245" s="235"/>
      <c r="P245" s="235"/>
      <c r="Q245" s="235"/>
      <c r="R245" s="153"/>
      <c r="S245" s="38"/>
    </row>
    <row r="246" spans="1:19" s="5" customFormat="1" ht="24.9" customHeight="1" x14ac:dyDescent="0.3">
      <c r="A246" s="115"/>
      <c r="B246" s="264" t="s">
        <v>486</v>
      </c>
      <c r="C246" s="264"/>
      <c r="D246" s="264"/>
      <c r="E246" s="264"/>
      <c r="F246" s="264"/>
      <c r="G246" s="264"/>
      <c r="H246" s="264"/>
      <c r="I246" s="2"/>
      <c r="J246" s="2"/>
      <c r="K246" s="2"/>
      <c r="L246" s="2"/>
      <c r="M246" s="3"/>
      <c r="N246" s="3"/>
      <c r="O246" s="3"/>
      <c r="P246" s="3"/>
      <c r="Q246" s="86"/>
      <c r="R246" s="303"/>
      <c r="S246" s="147"/>
    </row>
    <row r="247" spans="1:19" s="5" customFormat="1" ht="24.9" customHeight="1" thickBot="1" x14ac:dyDescent="0.35">
      <c r="A247" s="116"/>
      <c r="B247" s="265"/>
      <c r="C247" s="265"/>
      <c r="D247" s="265"/>
      <c r="E247" s="265"/>
      <c r="F247" s="247"/>
      <c r="G247" s="247"/>
      <c r="H247" s="247"/>
      <c r="I247" s="87"/>
      <c r="J247" s="87"/>
      <c r="K247" s="87"/>
      <c r="L247" s="87"/>
      <c r="M247" s="87"/>
      <c r="N247" s="87"/>
      <c r="O247" s="87"/>
      <c r="P247" s="87"/>
      <c r="Q247" s="88"/>
      <c r="R247" s="304"/>
      <c r="S247" s="147"/>
    </row>
    <row r="248" spans="1:19" s="25" customFormat="1" ht="27.9" customHeight="1" x14ac:dyDescent="0.3">
      <c r="A248" s="236"/>
      <c r="B248" s="248" t="s">
        <v>2</v>
      </c>
      <c r="C248" s="245" t="s">
        <v>188</v>
      </c>
      <c r="D248" s="245" t="s">
        <v>189</v>
      </c>
      <c r="E248" s="248" t="s">
        <v>3</v>
      </c>
      <c r="F248" s="238" t="s">
        <v>4</v>
      </c>
      <c r="G248" s="250" t="s">
        <v>5</v>
      </c>
      <c r="H248" s="238" t="s">
        <v>6</v>
      </c>
      <c r="I248" s="238" t="s">
        <v>7</v>
      </c>
      <c r="J248" s="238" t="s">
        <v>8</v>
      </c>
      <c r="K248" s="238" t="s">
        <v>9</v>
      </c>
      <c r="L248" s="238" t="s">
        <v>10</v>
      </c>
      <c r="M248" s="238" t="s">
        <v>11</v>
      </c>
      <c r="N248" s="238" t="s">
        <v>12</v>
      </c>
      <c r="O248" s="238" t="s">
        <v>13</v>
      </c>
      <c r="P248" s="238" t="s">
        <v>14</v>
      </c>
      <c r="Q248" s="241" t="s">
        <v>15</v>
      </c>
      <c r="R248" s="300" t="s">
        <v>149</v>
      </c>
      <c r="S248" s="162"/>
    </row>
    <row r="249" spans="1:19" s="25" customFormat="1" ht="27.9" customHeight="1" thickBot="1" x14ac:dyDescent="0.35">
      <c r="A249" s="237"/>
      <c r="B249" s="271"/>
      <c r="C249" s="273"/>
      <c r="D249" s="273"/>
      <c r="E249" s="249"/>
      <c r="F249" s="239"/>
      <c r="G249" s="272"/>
      <c r="H249" s="239"/>
      <c r="I249" s="239"/>
      <c r="J249" s="239"/>
      <c r="K249" s="239"/>
      <c r="L249" s="239"/>
      <c r="M249" s="239"/>
      <c r="N249" s="240"/>
      <c r="O249" s="240"/>
      <c r="P249" s="239"/>
      <c r="Q249" s="242"/>
      <c r="R249" s="302"/>
      <c r="S249" s="162"/>
    </row>
    <row r="250" spans="1:19" s="25" customFormat="1" ht="39.9" customHeight="1" x14ac:dyDescent="0.3">
      <c r="A250" s="32"/>
      <c r="B250" s="71" t="s">
        <v>187</v>
      </c>
      <c r="C250" s="71"/>
      <c r="D250" s="71"/>
      <c r="E250" s="71" t="s">
        <v>56</v>
      </c>
      <c r="F250" s="81" t="s">
        <v>16</v>
      </c>
      <c r="G250" s="33"/>
      <c r="H250" s="61">
        <v>286.58</v>
      </c>
      <c r="I250" s="53">
        <v>8716.7800000000007</v>
      </c>
      <c r="J250" s="62"/>
      <c r="K250" s="63">
        <f>+H250*45</f>
        <v>12896.099999999999</v>
      </c>
      <c r="L250" s="63">
        <f>+H250*20*0.25</f>
        <v>1432.8999999999999</v>
      </c>
      <c r="M250" s="61">
        <v>0</v>
      </c>
      <c r="N250" s="62"/>
      <c r="O250" s="61">
        <f>120.39*2</f>
        <v>240.78</v>
      </c>
      <c r="P250" s="62"/>
      <c r="Q250" s="64">
        <f>+I250+M250-O250</f>
        <v>8476</v>
      </c>
      <c r="R250" s="104">
        <f>+Q250/2</f>
        <v>4238</v>
      </c>
      <c r="S250" s="147"/>
    </row>
    <row r="251" spans="1:19" s="25" customFormat="1" ht="39.9" customHeight="1" x14ac:dyDescent="0.3">
      <c r="A251" s="26"/>
      <c r="B251" s="71" t="s">
        <v>187</v>
      </c>
      <c r="C251" s="71"/>
      <c r="D251" s="71"/>
      <c r="E251" s="66" t="s">
        <v>485</v>
      </c>
      <c r="F251" s="79" t="s">
        <v>16</v>
      </c>
      <c r="G251" s="27"/>
      <c r="H251" s="61">
        <v>286.58</v>
      </c>
      <c r="I251" s="53">
        <v>8716.7800000000007</v>
      </c>
      <c r="J251" s="62"/>
      <c r="K251" s="63">
        <f>+H251*45</f>
        <v>12896.099999999999</v>
      </c>
      <c r="L251" s="63">
        <f>+H251*20*0.25</f>
        <v>1432.8999999999999</v>
      </c>
      <c r="M251" s="61">
        <v>0</v>
      </c>
      <c r="N251" s="62"/>
      <c r="O251" s="61">
        <f>120.39*2</f>
        <v>240.78</v>
      </c>
      <c r="P251" s="62"/>
      <c r="Q251" s="64">
        <f>+I251+M251-O251</f>
        <v>8476</v>
      </c>
      <c r="R251" s="104">
        <f>+Q251/2</f>
        <v>4238</v>
      </c>
      <c r="S251" s="147"/>
    </row>
    <row r="252" spans="1:19" s="25" customFormat="1" ht="39.9" customHeight="1" x14ac:dyDescent="0.3">
      <c r="A252" s="26"/>
      <c r="B252" s="71" t="s">
        <v>187</v>
      </c>
      <c r="C252" s="71"/>
      <c r="D252" s="71"/>
      <c r="E252" s="66" t="s">
        <v>57</v>
      </c>
      <c r="F252" s="79" t="s">
        <v>16</v>
      </c>
      <c r="G252" s="27"/>
      <c r="H252" s="61">
        <v>286.58</v>
      </c>
      <c r="I252" s="53">
        <v>8716.7800000000007</v>
      </c>
      <c r="J252" s="62"/>
      <c r="K252" s="63">
        <f>+H252*45</f>
        <v>12896.099999999999</v>
      </c>
      <c r="L252" s="63">
        <f>+H252*20*0.25</f>
        <v>1432.8999999999999</v>
      </c>
      <c r="M252" s="61">
        <v>0</v>
      </c>
      <c r="N252" s="62"/>
      <c r="O252" s="61">
        <f>120.39*2</f>
        <v>240.78</v>
      </c>
      <c r="P252" s="62"/>
      <c r="Q252" s="64">
        <f>+I252+M252-O252</f>
        <v>8476</v>
      </c>
      <c r="R252" s="104">
        <f>+Q252/2</f>
        <v>4238</v>
      </c>
      <c r="S252" s="147"/>
    </row>
    <row r="253" spans="1:19" s="6" customFormat="1" ht="30" customHeight="1" thickBot="1" x14ac:dyDescent="0.35">
      <c r="A253" s="7"/>
      <c r="B253" s="56" t="s">
        <v>19</v>
      </c>
      <c r="C253" s="56"/>
      <c r="D253" s="56"/>
      <c r="E253" s="57"/>
      <c r="F253" s="4"/>
      <c r="G253" s="7"/>
      <c r="H253" s="4"/>
      <c r="I253" s="4"/>
      <c r="J253" s="4"/>
      <c r="K253" s="4"/>
      <c r="L253" s="4"/>
      <c r="M253" s="13"/>
      <c r="N253" s="13"/>
      <c r="O253" s="13"/>
      <c r="P253" s="13"/>
      <c r="Q253" s="13"/>
      <c r="R253" s="153"/>
      <c r="S253" s="38"/>
    </row>
    <row r="254" spans="1:19" s="6" customFormat="1" ht="30" customHeight="1" thickBot="1" x14ac:dyDescent="0.35">
      <c r="A254" s="7"/>
      <c r="B254" s="56" t="s">
        <v>20</v>
      </c>
      <c r="C254" s="56"/>
      <c r="D254" s="56"/>
      <c r="E254" s="57"/>
      <c r="F254" s="243" t="s">
        <v>18</v>
      </c>
      <c r="G254" s="244"/>
      <c r="H254" s="244"/>
      <c r="I254" s="17">
        <f t="shared" ref="I254:R254" si="47">SUM(I250:I252)</f>
        <v>26150.340000000004</v>
      </c>
      <c r="J254" s="17">
        <f t="shared" si="47"/>
        <v>0</v>
      </c>
      <c r="K254" s="17">
        <f t="shared" si="47"/>
        <v>38688.299999999996</v>
      </c>
      <c r="L254" s="17">
        <f t="shared" si="47"/>
        <v>4298.7</v>
      </c>
      <c r="M254" s="17">
        <f t="shared" si="47"/>
        <v>0</v>
      </c>
      <c r="N254" s="17">
        <f t="shared" si="47"/>
        <v>0</v>
      </c>
      <c r="O254" s="17">
        <f t="shared" si="47"/>
        <v>722.34</v>
      </c>
      <c r="P254" s="17">
        <f t="shared" si="47"/>
        <v>0</v>
      </c>
      <c r="Q254" s="34">
        <f t="shared" si="47"/>
        <v>25428</v>
      </c>
      <c r="R254" s="34">
        <f t="shared" si="47"/>
        <v>12714</v>
      </c>
      <c r="S254" s="164"/>
    </row>
    <row r="255" spans="1:19" ht="30" customHeight="1" thickBot="1" x14ac:dyDescent="0.35">
      <c r="A255" s="9"/>
      <c r="B255" s="56" t="s">
        <v>21</v>
      </c>
      <c r="C255" s="56"/>
      <c r="D255" s="56"/>
      <c r="E255" s="56"/>
      <c r="F255" s="231" t="s">
        <v>484</v>
      </c>
      <c r="G255" s="232"/>
      <c r="H255" s="232"/>
      <c r="I255" s="207">
        <f>+I254*12</f>
        <v>313804.08000000007</v>
      </c>
      <c r="J255" s="205">
        <f t="shared" ref="J255:R255" si="48">+J254*12</f>
        <v>0</v>
      </c>
      <c r="K255" s="207">
        <f>+K254</f>
        <v>38688.299999999996</v>
      </c>
      <c r="L255" s="205">
        <f>+L254</f>
        <v>4298.7</v>
      </c>
      <c r="M255" s="207">
        <f t="shared" si="48"/>
        <v>0</v>
      </c>
      <c r="N255" s="205">
        <f t="shared" si="48"/>
        <v>0</v>
      </c>
      <c r="O255" s="207">
        <f t="shared" si="48"/>
        <v>8668.08</v>
      </c>
      <c r="P255" s="205">
        <f t="shared" si="48"/>
        <v>0</v>
      </c>
      <c r="Q255" s="207">
        <f t="shared" si="48"/>
        <v>305136</v>
      </c>
      <c r="R255" s="206">
        <f t="shared" si="48"/>
        <v>152568</v>
      </c>
      <c r="S255" s="38"/>
    </row>
    <row r="256" spans="1:19" ht="30" customHeight="1" x14ac:dyDescent="0.3">
      <c r="A256" s="9"/>
      <c r="B256" s="56" t="s">
        <v>22</v>
      </c>
      <c r="C256" s="56"/>
      <c r="D256" s="56"/>
      <c r="E256" s="56"/>
      <c r="F256" s="59"/>
      <c r="G256" s="10"/>
      <c r="H256" s="59"/>
      <c r="I256" s="60"/>
      <c r="J256" s="60"/>
      <c r="K256" s="60"/>
      <c r="L256" s="60"/>
      <c r="M256" s="60"/>
      <c r="N256" s="60"/>
      <c r="O256" s="60"/>
      <c r="P256" s="60"/>
      <c r="Q256" s="60"/>
      <c r="R256" s="153"/>
      <c r="S256" s="38"/>
    </row>
    <row r="257" spans="1:19" ht="30" customHeight="1" x14ac:dyDescent="0.3">
      <c r="A257" s="9"/>
      <c r="B257" s="56" t="s">
        <v>23</v>
      </c>
      <c r="C257" s="56"/>
      <c r="D257" s="56"/>
      <c r="E257" s="56"/>
      <c r="F257" s="59"/>
      <c r="G257" s="10"/>
      <c r="H257" s="59"/>
      <c r="I257" s="60"/>
      <c r="J257" s="60"/>
      <c r="K257" s="60"/>
      <c r="L257" s="60"/>
      <c r="M257" s="60"/>
      <c r="N257" s="60"/>
      <c r="O257" s="60"/>
      <c r="P257" s="60"/>
      <c r="Q257" s="60"/>
      <c r="R257" s="153"/>
      <c r="S257" s="38"/>
    </row>
    <row r="258" spans="1:19" ht="30" customHeight="1" x14ac:dyDescent="0.3">
      <c r="A258" s="9"/>
      <c r="B258" s="56"/>
      <c r="C258" s="56"/>
      <c r="D258" s="56"/>
      <c r="E258" s="56"/>
      <c r="F258" s="59"/>
      <c r="G258" s="10"/>
      <c r="H258" s="59"/>
      <c r="I258" s="60"/>
      <c r="J258" s="60"/>
      <c r="K258" s="60"/>
      <c r="L258" s="60"/>
      <c r="M258" s="60"/>
      <c r="N258" s="60"/>
      <c r="O258" s="60"/>
      <c r="P258" s="60"/>
      <c r="Q258" s="60"/>
      <c r="R258" s="153"/>
      <c r="S258" s="38"/>
    </row>
    <row r="259" spans="1:19" s="18" customFormat="1" ht="30" customHeight="1" x14ac:dyDescent="0.3">
      <c r="A259" s="256" t="s">
        <v>32</v>
      </c>
      <c r="B259" s="256"/>
      <c r="C259" s="256"/>
      <c r="D259" s="256"/>
      <c r="E259" s="256"/>
      <c r="F259" s="256"/>
      <c r="G259" s="256"/>
      <c r="H259" s="256"/>
      <c r="I259" s="256"/>
      <c r="J259" s="256"/>
      <c r="K259" s="256"/>
      <c r="L259" s="256"/>
      <c r="M259" s="256"/>
      <c r="N259" s="256"/>
      <c r="O259" s="256"/>
      <c r="P259" s="256"/>
      <c r="Q259" s="256"/>
      <c r="R259" s="153"/>
      <c r="S259" s="38"/>
    </row>
    <row r="260" spans="1:19" s="18" customFormat="1" ht="30" customHeight="1" x14ac:dyDescent="0.3">
      <c r="A260" s="235" t="s">
        <v>0</v>
      </c>
      <c r="B260" s="235"/>
      <c r="C260" s="235"/>
      <c r="D260" s="235"/>
      <c r="E260" s="235"/>
      <c r="F260" s="235"/>
      <c r="G260" s="235"/>
      <c r="H260" s="235"/>
      <c r="I260" s="235"/>
      <c r="J260" s="235"/>
      <c r="K260" s="235"/>
      <c r="L260" s="235"/>
      <c r="M260" s="235"/>
      <c r="N260" s="235"/>
      <c r="O260" s="235"/>
      <c r="P260" s="235"/>
      <c r="Q260" s="235"/>
      <c r="R260" s="153"/>
      <c r="S260" s="38"/>
    </row>
    <row r="261" spans="1:19" ht="30" customHeight="1" thickBot="1" x14ac:dyDescent="0.35">
      <c r="A261" s="235" t="s">
        <v>210</v>
      </c>
      <c r="B261" s="235"/>
      <c r="C261" s="235"/>
      <c r="D261" s="235"/>
      <c r="E261" s="235"/>
      <c r="F261" s="235"/>
      <c r="G261" s="235"/>
      <c r="H261" s="235"/>
      <c r="I261" s="235"/>
      <c r="J261" s="235"/>
      <c r="K261" s="235"/>
      <c r="L261" s="235"/>
      <c r="M261" s="235"/>
      <c r="N261" s="235"/>
      <c r="O261" s="235"/>
      <c r="P261" s="235"/>
      <c r="Q261" s="235"/>
      <c r="R261" s="153"/>
      <c r="S261" s="38"/>
    </row>
    <row r="262" spans="1:19" s="5" customFormat="1" ht="24.9" customHeight="1" x14ac:dyDescent="0.3">
      <c r="A262" s="115"/>
      <c r="B262" s="267" t="s">
        <v>74</v>
      </c>
      <c r="C262" s="264"/>
      <c r="D262" s="264"/>
      <c r="E262" s="264"/>
      <c r="F262" s="264"/>
      <c r="G262" s="264"/>
      <c r="H262" s="264"/>
      <c r="I262" s="264"/>
      <c r="J262" s="264"/>
      <c r="K262" s="264"/>
      <c r="L262" s="264"/>
      <c r="M262" s="264"/>
      <c r="N262" s="264"/>
      <c r="O262" s="264"/>
      <c r="P262" s="264"/>
      <c r="Q262" s="264"/>
      <c r="R262" s="268"/>
      <c r="S262" s="162"/>
    </row>
    <row r="263" spans="1:19" s="5" customFormat="1" ht="24.9" customHeight="1" thickBot="1" x14ac:dyDescent="0.35">
      <c r="A263" s="116"/>
      <c r="B263" s="269"/>
      <c r="C263" s="265"/>
      <c r="D263" s="265"/>
      <c r="E263" s="265"/>
      <c r="F263" s="265"/>
      <c r="G263" s="265"/>
      <c r="H263" s="265"/>
      <c r="I263" s="265"/>
      <c r="J263" s="265"/>
      <c r="K263" s="265"/>
      <c r="L263" s="265"/>
      <c r="M263" s="265"/>
      <c r="N263" s="265"/>
      <c r="O263" s="265"/>
      <c r="P263" s="265"/>
      <c r="Q263" s="265"/>
      <c r="R263" s="270"/>
      <c r="S263" s="162"/>
    </row>
    <row r="264" spans="1:19" s="25" customFormat="1" ht="27.9" customHeight="1" x14ac:dyDescent="0.3">
      <c r="A264" s="236"/>
      <c r="B264" s="258" t="s">
        <v>2</v>
      </c>
      <c r="C264" s="245" t="s">
        <v>188</v>
      </c>
      <c r="D264" s="245" t="s">
        <v>189</v>
      </c>
      <c r="E264" s="258" t="s">
        <v>3</v>
      </c>
      <c r="F264" s="261" t="s">
        <v>4</v>
      </c>
      <c r="G264" s="263" t="s">
        <v>5</v>
      </c>
      <c r="H264" s="261" t="s">
        <v>6</v>
      </c>
      <c r="I264" s="261" t="s">
        <v>7</v>
      </c>
      <c r="J264" s="261" t="s">
        <v>8</v>
      </c>
      <c r="K264" s="261" t="s">
        <v>9</v>
      </c>
      <c r="L264" s="261" t="s">
        <v>10</v>
      </c>
      <c r="M264" s="261" t="s">
        <v>11</v>
      </c>
      <c r="N264" s="261" t="s">
        <v>12</v>
      </c>
      <c r="O264" s="261" t="s">
        <v>13</v>
      </c>
      <c r="P264" s="261" t="s">
        <v>14</v>
      </c>
      <c r="Q264" s="266" t="s">
        <v>15</v>
      </c>
      <c r="R264" s="300" t="s">
        <v>149</v>
      </c>
      <c r="S264" s="162"/>
    </row>
    <row r="265" spans="1:19" s="25" customFormat="1" ht="27.9" customHeight="1" thickBot="1" x14ac:dyDescent="0.35">
      <c r="A265" s="237"/>
      <c r="B265" s="271"/>
      <c r="C265" s="246"/>
      <c r="D265" s="246"/>
      <c r="E265" s="260"/>
      <c r="F265" s="262"/>
      <c r="G265" s="251"/>
      <c r="H265" s="239"/>
      <c r="I265" s="239"/>
      <c r="J265" s="239"/>
      <c r="K265" s="239"/>
      <c r="L265" s="239"/>
      <c r="M265" s="239"/>
      <c r="N265" s="240"/>
      <c r="O265" s="240"/>
      <c r="P265" s="239"/>
      <c r="Q265" s="242"/>
      <c r="R265" s="301"/>
      <c r="S265" s="162"/>
    </row>
    <row r="266" spans="1:19" s="25" customFormat="1" ht="39.9" customHeight="1" x14ac:dyDescent="0.3">
      <c r="A266" s="32">
        <v>9</v>
      </c>
      <c r="B266" s="138" t="s">
        <v>58</v>
      </c>
      <c r="C266" s="101" t="s">
        <v>324</v>
      </c>
      <c r="D266" s="101" t="s">
        <v>323</v>
      </c>
      <c r="E266" s="127" t="s">
        <v>180</v>
      </c>
      <c r="F266" s="144" t="s">
        <v>35</v>
      </c>
      <c r="G266" s="131">
        <v>32540</v>
      </c>
      <c r="H266" s="61">
        <v>286.58</v>
      </c>
      <c r="I266" s="53">
        <v>8716.7800000000007</v>
      </c>
      <c r="J266" s="62"/>
      <c r="K266" s="63">
        <f>+H266*65</f>
        <v>18627.7</v>
      </c>
      <c r="L266" s="63">
        <f>+H266*26*0.42</f>
        <v>3129.4535999999998</v>
      </c>
      <c r="M266" s="61">
        <v>0</v>
      </c>
      <c r="N266" s="62"/>
      <c r="O266" s="61">
        <f t="shared" ref="O266:O275" si="49">120.39*2</f>
        <v>240.78</v>
      </c>
      <c r="P266" s="62"/>
      <c r="Q266" s="64">
        <f t="shared" ref="Q266:Q275" si="50">+I266+M266-O266</f>
        <v>8476</v>
      </c>
      <c r="R266" s="208">
        <f t="shared" ref="R266:R275" si="51">+Q266/2</f>
        <v>4238</v>
      </c>
      <c r="S266" s="147"/>
    </row>
    <row r="267" spans="1:19" s="25" customFormat="1" ht="39.9" customHeight="1" x14ac:dyDescent="0.3">
      <c r="A267" s="26">
        <v>10</v>
      </c>
      <c r="B267" s="137" t="s">
        <v>59</v>
      </c>
      <c r="C267" s="101" t="s">
        <v>322</v>
      </c>
      <c r="D267" s="101" t="s">
        <v>321</v>
      </c>
      <c r="E267" s="127" t="s">
        <v>180</v>
      </c>
      <c r="F267" s="144" t="s">
        <v>35</v>
      </c>
      <c r="G267" s="131">
        <v>33256</v>
      </c>
      <c r="H267" s="61">
        <v>286.58</v>
      </c>
      <c r="I267" s="53">
        <v>8716.7800000000007</v>
      </c>
      <c r="J267" s="62"/>
      <c r="K267" s="63">
        <f>+H267*65</f>
        <v>18627.7</v>
      </c>
      <c r="L267" s="63">
        <f>+H267*26*0.42</f>
        <v>3129.4535999999998</v>
      </c>
      <c r="M267" s="61">
        <v>0</v>
      </c>
      <c r="N267" s="62"/>
      <c r="O267" s="61">
        <f t="shared" si="49"/>
        <v>240.78</v>
      </c>
      <c r="P267" s="62"/>
      <c r="Q267" s="64">
        <f t="shared" si="50"/>
        <v>8476</v>
      </c>
      <c r="R267" s="104">
        <f t="shared" si="51"/>
        <v>4238</v>
      </c>
      <c r="S267" s="147"/>
    </row>
    <row r="268" spans="1:19" s="25" customFormat="1" ht="39.9" customHeight="1" x14ac:dyDescent="0.3">
      <c r="A268" s="26">
        <v>17</v>
      </c>
      <c r="B268" s="137" t="s">
        <v>60</v>
      </c>
      <c r="C268" s="101" t="s">
        <v>320</v>
      </c>
      <c r="D268" s="101" t="s">
        <v>319</v>
      </c>
      <c r="E268" s="127" t="s">
        <v>180</v>
      </c>
      <c r="F268" s="144" t="s">
        <v>35</v>
      </c>
      <c r="G268" s="131">
        <v>34213</v>
      </c>
      <c r="H268" s="61">
        <v>286.58</v>
      </c>
      <c r="I268" s="53">
        <v>8716.7800000000007</v>
      </c>
      <c r="J268" s="62"/>
      <c r="K268" s="63">
        <f>+H268*65</f>
        <v>18627.7</v>
      </c>
      <c r="L268" s="63">
        <f>+H268*26*0.42</f>
        <v>3129.4535999999998</v>
      </c>
      <c r="M268" s="61">
        <v>0</v>
      </c>
      <c r="N268" s="62"/>
      <c r="O268" s="61">
        <f t="shared" si="49"/>
        <v>240.78</v>
      </c>
      <c r="P268" s="62"/>
      <c r="Q268" s="64">
        <f t="shared" si="50"/>
        <v>8476</v>
      </c>
      <c r="R268" s="104">
        <f t="shared" si="51"/>
        <v>4238</v>
      </c>
      <c r="S268" s="147"/>
    </row>
    <row r="269" spans="1:19" s="25" customFormat="1" ht="39.9" customHeight="1" x14ac:dyDescent="0.3">
      <c r="A269" s="26">
        <v>18</v>
      </c>
      <c r="B269" s="137" t="s">
        <v>61</v>
      </c>
      <c r="C269" s="101" t="s">
        <v>318</v>
      </c>
      <c r="D269" s="101" t="s">
        <v>317</v>
      </c>
      <c r="E269" s="127" t="s">
        <v>63</v>
      </c>
      <c r="F269" s="144" t="s">
        <v>35</v>
      </c>
      <c r="G269" s="131">
        <v>36220</v>
      </c>
      <c r="H269" s="61">
        <v>286.58</v>
      </c>
      <c r="I269" s="53">
        <v>8716.7800000000007</v>
      </c>
      <c r="J269" s="62"/>
      <c r="K269" s="63">
        <f>+H269*65</f>
        <v>18627.7</v>
      </c>
      <c r="L269" s="63">
        <f>+H269*26*0.42</f>
        <v>3129.4535999999998</v>
      </c>
      <c r="M269" s="61">
        <v>0</v>
      </c>
      <c r="N269" s="62"/>
      <c r="O269" s="61">
        <f t="shared" si="49"/>
        <v>240.78</v>
      </c>
      <c r="P269" s="62"/>
      <c r="Q269" s="64">
        <f t="shared" si="50"/>
        <v>8476</v>
      </c>
      <c r="R269" s="104">
        <f t="shared" si="51"/>
        <v>4238</v>
      </c>
      <c r="S269" s="147"/>
    </row>
    <row r="270" spans="1:19" s="25" customFormat="1" ht="39.9" customHeight="1" x14ac:dyDescent="0.3">
      <c r="A270" s="26">
        <v>19</v>
      </c>
      <c r="B270" s="137" t="s">
        <v>62</v>
      </c>
      <c r="C270" s="101" t="s">
        <v>316</v>
      </c>
      <c r="D270" s="101" t="s">
        <v>315</v>
      </c>
      <c r="E270" s="127" t="s">
        <v>180</v>
      </c>
      <c r="F270" s="143" t="s">
        <v>35</v>
      </c>
      <c r="G270" s="131">
        <v>40544</v>
      </c>
      <c r="H270" s="61">
        <v>286.58</v>
      </c>
      <c r="I270" s="53">
        <v>8716.7800000000007</v>
      </c>
      <c r="J270" s="62"/>
      <c r="K270" s="63">
        <f>+H270*65</f>
        <v>18627.7</v>
      </c>
      <c r="L270" s="63">
        <f>+H270*26*0.42</f>
        <v>3129.4535999999998</v>
      </c>
      <c r="M270" s="61">
        <v>0</v>
      </c>
      <c r="N270" s="62"/>
      <c r="O270" s="61">
        <f t="shared" si="49"/>
        <v>240.78</v>
      </c>
      <c r="P270" s="62"/>
      <c r="Q270" s="64">
        <f t="shared" si="50"/>
        <v>8476</v>
      </c>
      <c r="R270" s="104">
        <f t="shared" si="51"/>
        <v>4238</v>
      </c>
      <c r="S270" s="147"/>
    </row>
    <row r="271" spans="1:19" s="40" customFormat="1" ht="39.9" customHeight="1" x14ac:dyDescent="0.3">
      <c r="A271" s="26">
        <v>224</v>
      </c>
      <c r="B271" s="137" t="s">
        <v>171</v>
      </c>
      <c r="C271" s="101" t="s">
        <v>314</v>
      </c>
      <c r="D271" s="101" t="s">
        <v>313</v>
      </c>
      <c r="E271" s="127" t="s">
        <v>126</v>
      </c>
      <c r="F271" s="143" t="s">
        <v>17</v>
      </c>
      <c r="G271" s="131">
        <v>45551</v>
      </c>
      <c r="H271" s="61">
        <v>286.58</v>
      </c>
      <c r="I271" s="53">
        <v>8716.7800000000007</v>
      </c>
      <c r="J271" s="62"/>
      <c r="K271" s="63">
        <f>+H271*45</f>
        <v>12896.099999999999</v>
      </c>
      <c r="L271" s="63">
        <f>+H271*20*0.25</f>
        <v>1432.8999999999999</v>
      </c>
      <c r="M271" s="61">
        <v>0</v>
      </c>
      <c r="N271" s="62"/>
      <c r="O271" s="61">
        <f t="shared" si="49"/>
        <v>240.78</v>
      </c>
      <c r="P271" s="62"/>
      <c r="Q271" s="64">
        <f t="shared" si="50"/>
        <v>8476</v>
      </c>
      <c r="R271" s="104">
        <f t="shared" si="51"/>
        <v>4238</v>
      </c>
      <c r="S271" s="147"/>
    </row>
    <row r="272" spans="1:19" s="25" customFormat="1" ht="39.9" customHeight="1" x14ac:dyDescent="0.3">
      <c r="A272" s="26">
        <v>219</v>
      </c>
      <c r="B272" s="137" t="s">
        <v>181</v>
      </c>
      <c r="C272" s="101" t="s">
        <v>312</v>
      </c>
      <c r="D272" s="101" t="s">
        <v>311</v>
      </c>
      <c r="E272" s="127" t="s">
        <v>155</v>
      </c>
      <c r="F272" s="143" t="s">
        <v>17</v>
      </c>
      <c r="G272" s="131">
        <v>45536</v>
      </c>
      <c r="H272" s="61">
        <v>286.58</v>
      </c>
      <c r="I272" s="53">
        <v>8716.7800000000007</v>
      </c>
      <c r="J272" s="62"/>
      <c r="K272" s="63">
        <f>+H272*45</f>
        <v>12896.099999999999</v>
      </c>
      <c r="L272" s="63">
        <f>+H272*20*0.25</f>
        <v>1432.8999999999999</v>
      </c>
      <c r="M272" s="61">
        <v>0</v>
      </c>
      <c r="N272" s="62"/>
      <c r="O272" s="61">
        <f t="shared" si="49"/>
        <v>240.78</v>
      </c>
      <c r="P272" s="62"/>
      <c r="Q272" s="64">
        <f t="shared" si="50"/>
        <v>8476</v>
      </c>
      <c r="R272" s="104">
        <f t="shared" si="51"/>
        <v>4238</v>
      </c>
      <c r="S272" s="147"/>
    </row>
    <row r="273" spans="1:19" s="25" customFormat="1" ht="39.9" customHeight="1" x14ac:dyDescent="0.3">
      <c r="A273" s="26">
        <v>225</v>
      </c>
      <c r="B273" s="4" t="s">
        <v>172</v>
      </c>
      <c r="C273" s="101" t="s">
        <v>310</v>
      </c>
      <c r="D273" s="101" t="s">
        <v>309</v>
      </c>
      <c r="E273" s="127" t="s">
        <v>155</v>
      </c>
      <c r="F273" s="144" t="s">
        <v>17</v>
      </c>
      <c r="G273" s="131">
        <v>45551</v>
      </c>
      <c r="H273" s="61">
        <v>286.58</v>
      </c>
      <c r="I273" s="53">
        <v>8716.7800000000007</v>
      </c>
      <c r="J273" s="62"/>
      <c r="K273" s="63">
        <f>+H273*45</f>
        <v>12896.099999999999</v>
      </c>
      <c r="L273" s="63">
        <f>+H273*20*0.25</f>
        <v>1432.8999999999999</v>
      </c>
      <c r="M273" s="61">
        <v>0</v>
      </c>
      <c r="N273" s="62"/>
      <c r="O273" s="61">
        <f t="shared" si="49"/>
        <v>240.78</v>
      </c>
      <c r="P273" s="62"/>
      <c r="Q273" s="64">
        <f t="shared" si="50"/>
        <v>8476</v>
      </c>
      <c r="R273" s="104">
        <f t="shared" si="51"/>
        <v>4238</v>
      </c>
      <c r="S273" s="147"/>
    </row>
    <row r="274" spans="1:19" s="25" customFormat="1" ht="39.75" customHeight="1" x14ac:dyDescent="0.3">
      <c r="A274" s="26">
        <v>220</v>
      </c>
      <c r="B274" s="137" t="s">
        <v>125</v>
      </c>
      <c r="C274" s="101" t="s">
        <v>308</v>
      </c>
      <c r="D274" s="101" t="s">
        <v>307</v>
      </c>
      <c r="E274" s="127" t="s">
        <v>64</v>
      </c>
      <c r="F274" s="144" t="s">
        <v>16</v>
      </c>
      <c r="G274" s="131">
        <v>45536</v>
      </c>
      <c r="H274" s="61">
        <v>286.58</v>
      </c>
      <c r="I274" s="53">
        <v>8716.7800000000007</v>
      </c>
      <c r="J274" s="62"/>
      <c r="K274" s="63">
        <f>+H274*45</f>
        <v>12896.099999999999</v>
      </c>
      <c r="L274" s="63">
        <f>+H274*20*0.25</f>
        <v>1432.8999999999999</v>
      </c>
      <c r="M274" s="61">
        <v>0</v>
      </c>
      <c r="N274" s="62"/>
      <c r="O274" s="61">
        <f t="shared" si="49"/>
        <v>240.78</v>
      </c>
      <c r="P274" s="62"/>
      <c r="Q274" s="64">
        <f t="shared" si="50"/>
        <v>8476</v>
      </c>
      <c r="R274" s="104">
        <f t="shared" si="51"/>
        <v>4238</v>
      </c>
      <c r="S274" s="147"/>
    </row>
    <row r="275" spans="1:19" s="25" customFormat="1" ht="39.9" customHeight="1" x14ac:dyDescent="0.3">
      <c r="A275" s="26">
        <v>221</v>
      </c>
      <c r="B275" s="137" t="s">
        <v>162</v>
      </c>
      <c r="C275" s="101" t="s">
        <v>306</v>
      </c>
      <c r="D275" s="101" t="s">
        <v>305</v>
      </c>
      <c r="E275" s="127" t="s">
        <v>180</v>
      </c>
      <c r="F275" s="144" t="s">
        <v>17</v>
      </c>
      <c r="G275" s="131">
        <v>45536</v>
      </c>
      <c r="H275" s="61">
        <v>286.58</v>
      </c>
      <c r="I275" s="53">
        <v>8716.7800000000007</v>
      </c>
      <c r="J275" s="62"/>
      <c r="K275" s="63">
        <f>+H275*45</f>
        <v>12896.099999999999</v>
      </c>
      <c r="L275" s="63">
        <f>+H275*20*0.25</f>
        <v>1432.8999999999999</v>
      </c>
      <c r="M275" s="61">
        <v>0</v>
      </c>
      <c r="N275" s="62"/>
      <c r="O275" s="61">
        <f t="shared" si="49"/>
        <v>240.78</v>
      </c>
      <c r="P275" s="62"/>
      <c r="Q275" s="64">
        <f t="shared" si="50"/>
        <v>8476</v>
      </c>
      <c r="R275" s="104">
        <f t="shared" si="51"/>
        <v>4238</v>
      </c>
      <c r="S275" s="147"/>
    </row>
    <row r="276" spans="1:19" s="6" customFormat="1" ht="30" customHeight="1" thickBot="1" x14ac:dyDescent="0.35">
      <c r="A276" s="7"/>
      <c r="B276" s="56" t="s">
        <v>19</v>
      </c>
      <c r="C276" s="56"/>
      <c r="D276" s="56"/>
      <c r="E276" s="57"/>
      <c r="F276" s="4"/>
      <c r="G276" s="7"/>
      <c r="H276" s="4"/>
      <c r="I276" s="4"/>
      <c r="J276" s="4"/>
      <c r="K276" s="4"/>
      <c r="L276" s="4"/>
      <c r="M276" s="13"/>
      <c r="N276" s="13"/>
      <c r="O276" s="13"/>
      <c r="P276" s="13"/>
      <c r="Q276" s="13"/>
      <c r="R276" s="153"/>
      <c r="S276" s="38"/>
    </row>
    <row r="277" spans="1:19" s="6" customFormat="1" ht="30" customHeight="1" thickBot="1" x14ac:dyDescent="0.35">
      <c r="A277" s="7"/>
      <c r="B277" s="56" t="s">
        <v>20</v>
      </c>
      <c r="C277" s="56"/>
      <c r="D277" s="56"/>
      <c r="E277" s="57"/>
      <c r="F277" s="243" t="s">
        <v>18</v>
      </c>
      <c r="G277" s="244"/>
      <c r="H277" s="244"/>
      <c r="I277" s="17">
        <f>SUM(I266:I275)</f>
        <v>87167.8</v>
      </c>
      <c r="J277" s="17">
        <f t="shared" ref="J277:R277" si="52">SUM(J266:J275)</f>
        <v>0</v>
      </c>
      <c r="K277" s="17">
        <f t="shared" si="52"/>
        <v>157619.00000000003</v>
      </c>
      <c r="L277" s="17">
        <f t="shared" si="52"/>
        <v>22811.768000000007</v>
      </c>
      <c r="M277" s="17">
        <f t="shared" si="52"/>
        <v>0</v>
      </c>
      <c r="N277" s="17">
        <f t="shared" si="52"/>
        <v>0</v>
      </c>
      <c r="O277" s="17">
        <f t="shared" si="52"/>
        <v>2407.8000000000002</v>
      </c>
      <c r="P277" s="17">
        <f t="shared" si="52"/>
        <v>0</v>
      </c>
      <c r="Q277" s="17">
        <f t="shared" si="52"/>
        <v>84760</v>
      </c>
      <c r="R277" s="17">
        <f t="shared" si="52"/>
        <v>42380</v>
      </c>
      <c r="S277" s="164"/>
    </row>
    <row r="278" spans="1:19" ht="30" customHeight="1" thickBot="1" x14ac:dyDescent="0.35">
      <c r="A278" s="9"/>
      <c r="B278" s="56" t="s">
        <v>21</v>
      </c>
      <c r="C278" s="56"/>
      <c r="D278" s="56"/>
      <c r="E278" s="56"/>
      <c r="F278" s="231" t="s">
        <v>484</v>
      </c>
      <c r="G278" s="232"/>
      <c r="H278" s="232"/>
      <c r="I278" s="207">
        <f>I277*12</f>
        <v>1046013.6000000001</v>
      </c>
      <c r="J278" s="205">
        <f t="shared" ref="J278:R278" si="53">J277*12</f>
        <v>0</v>
      </c>
      <c r="K278" s="207">
        <f>K277</f>
        <v>157619.00000000003</v>
      </c>
      <c r="L278" s="205">
        <f>L277</f>
        <v>22811.768000000007</v>
      </c>
      <c r="M278" s="207">
        <f t="shared" si="53"/>
        <v>0</v>
      </c>
      <c r="N278" s="205">
        <f t="shared" si="53"/>
        <v>0</v>
      </c>
      <c r="O278" s="207">
        <f t="shared" si="53"/>
        <v>28893.600000000002</v>
      </c>
      <c r="P278" s="205">
        <f t="shared" si="53"/>
        <v>0</v>
      </c>
      <c r="Q278" s="207">
        <f t="shared" si="53"/>
        <v>1017120</v>
      </c>
      <c r="R278" s="206">
        <f t="shared" si="53"/>
        <v>508560</v>
      </c>
      <c r="S278" s="38"/>
    </row>
    <row r="279" spans="1:19" ht="30" customHeight="1" x14ac:dyDescent="0.3">
      <c r="A279" s="9"/>
      <c r="B279" s="56" t="s">
        <v>22</v>
      </c>
      <c r="C279" s="56"/>
      <c r="D279" s="56"/>
      <c r="E279" s="56"/>
      <c r="F279" s="59"/>
      <c r="G279" s="10"/>
      <c r="H279" s="59"/>
      <c r="I279" s="60"/>
      <c r="J279" s="60"/>
      <c r="K279" s="60"/>
      <c r="L279" s="60"/>
      <c r="M279" s="60"/>
      <c r="N279" s="60"/>
      <c r="O279" s="60"/>
      <c r="P279" s="60"/>
      <c r="Q279" s="60"/>
      <c r="R279" s="38"/>
      <c r="S279" s="38"/>
    </row>
    <row r="280" spans="1:19" ht="30" customHeight="1" x14ac:dyDescent="0.3">
      <c r="A280" s="9"/>
      <c r="B280" s="56" t="s">
        <v>23</v>
      </c>
      <c r="C280" s="56"/>
      <c r="D280" s="56"/>
      <c r="E280" s="56"/>
      <c r="F280" s="59"/>
      <c r="G280" s="10"/>
      <c r="H280" s="59"/>
      <c r="I280" s="60"/>
      <c r="J280" s="60"/>
      <c r="K280" s="60"/>
      <c r="L280" s="60"/>
      <c r="M280" s="60"/>
      <c r="N280" s="60"/>
      <c r="O280" s="60"/>
      <c r="P280" s="60"/>
      <c r="Q280" s="60"/>
      <c r="R280" s="153"/>
      <c r="S280" s="38"/>
    </row>
    <row r="281" spans="1:19" ht="30" customHeight="1" x14ac:dyDescent="0.3">
      <c r="A281" s="9"/>
      <c r="B281" s="56"/>
      <c r="C281" s="56"/>
      <c r="D281" s="56"/>
      <c r="E281" s="56"/>
      <c r="F281" s="59"/>
      <c r="G281" s="10"/>
      <c r="H281" s="59"/>
      <c r="I281" s="60"/>
      <c r="J281" s="60"/>
      <c r="K281" s="60"/>
      <c r="L281" s="60"/>
      <c r="M281" s="60"/>
      <c r="N281" s="60"/>
      <c r="O281" s="60"/>
      <c r="P281" s="60"/>
      <c r="Q281" s="60"/>
      <c r="R281" s="153"/>
      <c r="S281" s="38"/>
    </row>
    <row r="282" spans="1:19" s="18" customFormat="1" ht="30" customHeight="1" x14ac:dyDescent="0.3">
      <c r="A282" s="256" t="s">
        <v>32</v>
      </c>
      <c r="B282" s="256"/>
      <c r="C282" s="256"/>
      <c r="D282" s="256"/>
      <c r="E282" s="256"/>
      <c r="F282" s="256"/>
      <c r="G282" s="256"/>
      <c r="H282" s="256"/>
      <c r="I282" s="256"/>
      <c r="J282" s="256"/>
      <c r="K282" s="256"/>
      <c r="L282" s="256"/>
      <c r="M282" s="256"/>
      <c r="N282" s="256"/>
      <c r="O282" s="256"/>
      <c r="P282" s="256"/>
      <c r="Q282" s="256"/>
      <c r="R282" s="153"/>
      <c r="S282" s="38"/>
    </row>
    <row r="283" spans="1:19" s="18" customFormat="1" ht="30" customHeight="1" x14ac:dyDescent="0.3">
      <c r="A283" s="235" t="s">
        <v>0</v>
      </c>
      <c r="B283" s="235"/>
      <c r="C283" s="235"/>
      <c r="D283" s="235"/>
      <c r="E283" s="235"/>
      <c r="F283" s="235"/>
      <c r="G283" s="235"/>
      <c r="H283" s="235"/>
      <c r="I283" s="235"/>
      <c r="J283" s="235"/>
      <c r="K283" s="235"/>
      <c r="L283" s="235"/>
      <c r="M283" s="235"/>
      <c r="N283" s="235"/>
      <c r="O283" s="235"/>
      <c r="P283" s="235"/>
      <c r="Q283" s="235"/>
      <c r="R283" s="153"/>
      <c r="S283" s="38"/>
    </row>
    <row r="284" spans="1:19" ht="30" customHeight="1" thickBot="1" x14ac:dyDescent="0.35">
      <c r="A284" s="235" t="s">
        <v>210</v>
      </c>
      <c r="B284" s="235"/>
      <c r="C284" s="235"/>
      <c r="D284" s="235"/>
      <c r="E284" s="235"/>
      <c r="F284" s="235"/>
      <c r="G284" s="235"/>
      <c r="H284" s="235"/>
      <c r="I284" s="235"/>
      <c r="J284" s="235"/>
      <c r="K284" s="235"/>
      <c r="L284" s="235"/>
      <c r="M284" s="235"/>
      <c r="N284" s="235"/>
      <c r="O284" s="235"/>
      <c r="P284" s="235"/>
      <c r="Q284" s="235"/>
      <c r="R284" s="153"/>
      <c r="S284" s="38"/>
    </row>
    <row r="285" spans="1:19" s="5" customFormat="1" ht="24.9" customHeight="1" x14ac:dyDescent="0.3">
      <c r="A285" s="115"/>
      <c r="B285" s="264" t="s">
        <v>83</v>
      </c>
      <c r="C285" s="264"/>
      <c r="D285" s="264"/>
      <c r="E285" s="264"/>
      <c r="F285" s="264"/>
      <c r="G285" s="264"/>
      <c r="H285" s="264"/>
      <c r="I285" s="2"/>
      <c r="J285" s="2"/>
      <c r="K285" s="2"/>
      <c r="L285" s="2"/>
      <c r="M285" s="3"/>
      <c r="N285" s="3"/>
      <c r="O285" s="3"/>
      <c r="P285" s="3"/>
      <c r="Q285" s="86"/>
      <c r="R285" s="154"/>
      <c r="S285" s="147"/>
    </row>
    <row r="286" spans="1:19" s="5" customFormat="1" ht="24.9" customHeight="1" thickBot="1" x14ac:dyDescent="0.35">
      <c r="A286" s="116"/>
      <c r="B286" s="265"/>
      <c r="C286" s="265"/>
      <c r="D286" s="265"/>
      <c r="E286" s="265"/>
      <c r="F286" s="247"/>
      <c r="G286" s="247"/>
      <c r="H286" s="247"/>
      <c r="I286" s="87"/>
      <c r="J286" s="87"/>
      <c r="K286" s="87"/>
      <c r="L286" s="87"/>
      <c r="M286" s="87"/>
      <c r="N286" s="87"/>
      <c r="O286" s="87"/>
      <c r="P286" s="87"/>
      <c r="Q286" s="88"/>
      <c r="R286" s="155"/>
      <c r="S286" s="147"/>
    </row>
    <row r="287" spans="1:19" s="25" customFormat="1" ht="27.9" customHeight="1" x14ac:dyDescent="0.3">
      <c r="A287" s="236"/>
      <c r="B287" s="248" t="s">
        <v>2</v>
      </c>
      <c r="C287" s="245" t="s">
        <v>188</v>
      </c>
      <c r="D287" s="245" t="s">
        <v>189</v>
      </c>
      <c r="E287" s="248" t="s">
        <v>3</v>
      </c>
      <c r="F287" s="238" t="s">
        <v>4</v>
      </c>
      <c r="G287" s="250" t="s">
        <v>5</v>
      </c>
      <c r="H287" s="238" t="s">
        <v>6</v>
      </c>
      <c r="I287" s="238" t="s">
        <v>7</v>
      </c>
      <c r="J287" s="238" t="s">
        <v>8</v>
      </c>
      <c r="K287" s="238" t="s">
        <v>9</v>
      </c>
      <c r="L287" s="238" t="s">
        <v>10</v>
      </c>
      <c r="M287" s="238" t="s">
        <v>11</v>
      </c>
      <c r="N287" s="238" t="s">
        <v>12</v>
      </c>
      <c r="O287" s="238" t="s">
        <v>13</v>
      </c>
      <c r="P287" s="238" t="s">
        <v>14</v>
      </c>
      <c r="Q287" s="241" t="s">
        <v>15</v>
      </c>
      <c r="R287" s="300" t="s">
        <v>149</v>
      </c>
      <c r="S287" s="162"/>
    </row>
    <row r="288" spans="1:19" s="25" customFormat="1" ht="27.9" customHeight="1" thickBot="1" x14ac:dyDescent="0.35">
      <c r="A288" s="237"/>
      <c r="B288" s="271"/>
      <c r="C288" s="273"/>
      <c r="D288" s="273"/>
      <c r="E288" s="249"/>
      <c r="F288" s="239"/>
      <c r="G288" s="251"/>
      <c r="H288" s="239"/>
      <c r="I288" s="239"/>
      <c r="J288" s="239"/>
      <c r="K288" s="239"/>
      <c r="L288" s="239"/>
      <c r="M288" s="239"/>
      <c r="N288" s="240"/>
      <c r="O288" s="240"/>
      <c r="P288" s="239"/>
      <c r="Q288" s="242"/>
      <c r="R288" s="302"/>
      <c r="S288" s="162"/>
    </row>
    <row r="289" spans="1:19" s="25" customFormat="1" ht="39.9" customHeight="1" x14ac:dyDescent="0.3">
      <c r="A289" s="103">
        <v>233</v>
      </c>
      <c r="B289" s="103" t="s">
        <v>325</v>
      </c>
      <c r="C289" s="103" t="s">
        <v>326</v>
      </c>
      <c r="D289" s="103" t="s">
        <v>327</v>
      </c>
      <c r="E289" s="133" t="s">
        <v>65</v>
      </c>
      <c r="F289" s="145" t="s">
        <v>16</v>
      </c>
      <c r="G289" s="128">
        <v>45566</v>
      </c>
      <c r="H289" s="63">
        <v>357.39</v>
      </c>
      <c r="I289" s="63">
        <f>5432*2</f>
        <v>10864</v>
      </c>
      <c r="J289" s="62"/>
      <c r="K289" s="63">
        <f>+H289*45</f>
        <v>16082.55</v>
      </c>
      <c r="L289" s="63">
        <f>+H289*20*0.25</f>
        <v>1786.9499999999998</v>
      </c>
      <c r="M289" s="63">
        <v>0</v>
      </c>
      <c r="N289" s="78"/>
      <c r="O289" s="61">
        <f>432*2</f>
        <v>864</v>
      </c>
      <c r="P289" s="62"/>
      <c r="Q289" s="64">
        <f t="shared" ref="Q289" si="54">+I289+M289-O289</f>
        <v>10000</v>
      </c>
      <c r="R289" s="104">
        <f t="shared" ref="R289" si="55">+Q289/2</f>
        <v>5000</v>
      </c>
      <c r="S289" s="147"/>
    </row>
    <row r="290" spans="1:19" s="6" customFormat="1" ht="30" customHeight="1" thickBot="1" x14ac:dyDescent="0.35">
      <c r="A290" s="7"/>
      <c r="B290" s="56" t="s">
        <v>19</v>
      </c>
      <c r="C290" s="56"/>
      <c r="D290" s="56"/>
      <c r="E290" s="57"/>
      <c r="F290" s="4"/>
      <c r="G290" s="7"/>
      <c r="H290" s="4"/>
      <c r="I290" s="4"/>
      <c r="J290" s="4"/>
      <c r="K290" s="4"/>
      <c r="L290" s="4"/>
      <c r="M290" s="13"/>
      <c r="N290" s="13"/>
      <c r="O290" s="13"/>
      <c r="P290" s="13"/>
      <c r="Q290" s="13"/>
      <c r="R290" s="153"/>
      <c r="S290" s="38"/>
    </row>
    <row r="291" spans="1:19" s="6" customFormat="1" ht="30" customHeight="1" thickBot="1" x14ac:dyDescent="0.35">
      <c r="A291" s="7"/>
      <c r="B291" s="56" t="s">
        <v>20</v>
      </c>
      <c r="C291" s="56"/>
      <c r="D291" s="56"/>
      <c r="E291" s="57"/>
      <c r="F291" s="243" t="s">
        <v>18</v>
      </c>
      <c r="G291" s="244"/>
      <c r="H291" s="244"/>
      <c r="I291" s="17">
        <f>SUM(I289:I289)</f>
        <v>10864</v>
      </c>
      <c r="J291" s="17">
        <f t="shared" ref="J291:Q291" si="56">SUM(J289:J289)</f>
        <v>0</v>
      </c>
      <c r="K291" s="17">
        <f t="shared" si="56"/>
        <v>16082.55</v>
      </c>
      <c r="L291" s="17">
        <f t="shared" si="56"/>
        <v>1786.9499999999998</v>
      </c>
      <c r="M291" s="17">
        <f t="shared" si="56"/>
        <v>0</v>
      </c>
      <c r="N291" s="17">
        <f t="shared" si="56"/>
        <v>0</v>
      </c>
      <c r="O291" s="17">
        <f t="shared" si="56"/>
        <v>864</v>
      </c>
      <c r="P291" s="17">
        <f t="shared" si="56"/>
        <v>0</v>
      </c>
      <c r="Q291" s="34">
        <f t="shared" si="56"/>
        <v>10000</v>
      </c>
      <c r="R291" s="152">
        <f>+R289</f>
        <v>5000</v>
      </c>
      <c r="S291" s="159"/>
    </row>
    <row r="292" spans="1:19" ht="30" customHeight="1" thickBot="1" x14ac:dyDescent="0.35">
      <c r="A292" s="9"/>
      <c r="B292" s="56" t="s">
        <v>21</v>
      </c>
      <c r="C292" s="56"/>
      <c r="D292" s="56"/>
      <c r="E292" s="56"/>
      <c r="F292" s="231" t="s">
        <v>484</v>
      </c>
      <c r="G292" s="232"/>
      <c r="H292" s="232"/>
      <c r="I292" s="207">
        <f>+I291*12</f>
        <v>130368</v>
      </c>
      <c r="J292" s="205">
        <f t="shared" ref="J292:R292" si="57">+J291*12</f>
        <v>0</v>
      </c>
      <c r="K292" s="207">
        <f>+K291</f>
        <v>16082.55</v>
      </c>
      <c r="L292" s="205">
        <f>+L291</f>
        <v>1786.9499999999998</v>
      </c>
      <c r="M292" s="207">
        <f t="shared" si="57"/>
        <v>0</v>
      </c>
      <c r="N292" s="205">
        <f t="shared" si="57"/>
        <v>0</v>
      </c>
      <c r="O292" s="207">
        <f t="shared" si="57"/>
        <v>10368</v>
      </c>
      <c r="P292" s="205">
        <f t="shared" si="57"/>
        <v>0</v>
      </c>
      <c r="Q292" s="207">
        <f t="shared" si="57"/>
        <v>120000</v>
      </c>
      <c r="R292" s="206">
        <f t="shared" si="57"/>
        <v>60000</v>
      </c>
      <c r="S292" s="38"/>
    </row>
    <row r="293" spans="1:19" ht="30" customHeight="1" x14ac:dyDescent="0.3">
      <c r="A293" s="9"/>
      <c r="B293" s="56" t="s">
        <v>22</v>
      </c>
      <c r="C293" s="56"/>
      <c r="D293" s="56"/>
      <c r="E293" s="56"/>
      <c r="F293" s="59"/>
      <c r="G293" s="10"/>
      <c r="H293" s="59"/>
      <c r="I293" s="60"/>
      <c r="J293" s="60"/>
      <c r="K293" s="60"/>
      <c r="L293" s="60"/>
      <c r="M293" s="60"/>
      <c r="N293" s="60"/>
      <c r="O293" s="60"/>
      <c r="P293" s="60"/>
      <c r="Q293" s="60"/>
      <c r="R293" s="153"/>
      <c r="S293" s="38"/>
    </row>
    <row r="294" spans="1:19" ht="30" customHeight="1" x14ac:dyDescent="0.3">
      <c r="A294" s="9"/>
      <c r="B294" s="56" t="s">
        <v>23</v>
      </c>
      <c r="C294" s="56"/>
      <c r="D294" s="56"/>
      <c r="E294" s="56"/>
      <c r="F294" s="59"/>
      <c r="G294" s="10"/>
      <c r="H294" s="59"/>
      <c r="I294" s="60"/>
      <c r="J294" s="60"/>
      <c r="K294" s="60"/>
      <c r="L294" s="60"/>
      <c r="M294" s="60"/>
      <c r="N294" s="60"/>
      <c r="O294" s="60"/>
      <c r="P294" s="60"/>
      <c r="Q294" s="60"/>
      <c r="R294" s="153"/>
      <c r="S294" s="38"/>
    </row>
    <row r="295" spans="1:19" ht="30" customHeight="1" x14ac:dyDescent="0.3">
      <c r="A295" s="9"/>
      <c r="B295" s="56"/>
      <c r="C295" s="56"/>
      <c r="D295" s="56"/>
      <c r="E295" s="56"/>
      <c r="F295" s="59"/>
      <c r="G295" s="10"/>
      <c r="H295" s="59"/>
      <c r="I295" s="60"/>
      <c r="J295" s="60"/>
      <c r="K295" s="60"/>
      <c r="L295" s="60"/>
      <c r="M295" s="60"/>
      <c r="N295" s="60"/>
      <c r="O295" s="60"/>
      <c r="P295" s="60"/>
      <c r="Q295" s="60"/>
      <c r="R295" s="153"/>
      <c r="S295" s="38"/>
    </row>
    <row r="296" spans="1:19" s="18" customFormat="1" ht="30" customHeight="1" x14ac:dyDescent="0.3">
      <c r="A296" s="256" t="s">
        <v>32</v>
      </c>
      <c r="B296" s="256"/>
      <c r="C296" s="256"/>
      <c r="D296" s="256"/>
      <c r="E296" s="256"/>
      <c r="F296" s="256"/>
      <c r="G296" s="256"/>
      <c r="H296" s="256"/>
      <c r="I296" s="256"/>
      <c r="J296" s="256"/>
      <c r="K296" s="256"/>
      <c r="L296" s="256"/>
      <c r="M296" s="256"/>
      <c r="N296" s="256"/>
      <c r="O296" s="256"/>
      <c r="P296" s="256"/>
      <c r="Q296" s="256"/>
      <c r="R296" s="153"/>
      <c r="S296" s="38"/>
    </row>
    <row r="297" spans="1:19" s="18" customFormat="1" ht="30" customHeight="1" x14ac:dyDescent="0.3">
      <c r="A297" s="235" t="s">
        <v>0</v>
      </c>
      <c r="B297" s="235"/>
      <c r="C297" s="235"/>
      <c r="D297" s="235"/>
      <c r="E297" s="235"/>
      <c r="F297" s="235"/>
      <c r="G297" s="235"/>
      <c r="H297" s="235"/>
      <c r="I297" s="235"/>
      <c r="J297" s="235"/>
      <c r="K297" s="235"/>
      <c r="L297" s="235"/>
      <c r="M297" s="235"/>
      <c r="N297" s="235"/>
      <c r="O297" s="235"/>
      <c r="P297" s="235"/>
      <c r="Q297" s="235"/>
      <c r="R297" s="153"/>
      <c r="S297" s="38"/>
    </row>
    <row r="298" spans="1:19" ht="30" customHeight="1" thickBot="1" x14ac:dyDescent="0.35">
      <c r="A298" s="235" t="s">
        <v>210</v>
      </c>
      <c r="B298" s="235"/>
      <c r="C298" s="235"/>
      <c r="D298" s="235"/>
      <c r="E298" s="235"/>
      <c r="F298" s="235"/>
      <c r="G298" s="235"/>
      <c r="H298" s="235"/>
      <c r="I298" s="235"/>
      <c r="J298" s="235"/>
      <c r="K298" s="235"/>
      <c r="L298" s="235"/>
      <c r="M298" s="235"/>
      <c r="N298" s="235"/>
      <c r="O298" s="235"/>
      <c r="P298" s="235"/>
      <c r="Q298" s="235"/>
      <c r="R298" s="153"/>
      <c r="S298" s="38"/>
    </row>
    <row r="299" spans="1:19" s="5" customFormat="1" ht="24.9" customHeight="1" x14ac:dyDescent="0.3">
      <c r="A299" s="115"/>
      <c r="B299" s="264" t="s">
        <v>75</v>
      </c>
      <c r="C299" s="264"/>
      <c r="D299" s="264"/>
      <c r="E299" s="264"/>
      <c r="F299" s="264"/>
      <c r="G299" s="264"/>
      <c r="H299" s="264"/>
      <c r="I299" s="2"/>
      <c r="J299" s="2"/>
      <c r="K299" s="2"/>
      <c r="L299" s="2"/>
      <c r="M299" s="3"/>
      <c r="N299" s="3"/>
      <c r="O299" s="3"/>
      <c r="P299" s="3"/>
      <c r="Q299" s="86"/>
      <c r="R299" s="303"/>
      <c r="S299" s="147"/>
    </row>
    <row r="300" spans="1:19" s="5" customFormat="1" ht="24.9" customHeight="1" thickBot="1" x14ac:dyDescent="0.35">
      <c r="A300" s="116"/>
      <c r="B300" s="265"/>
      <c r="C300" s="265"/>
      <c r="D300" s="265"/>
      <c r="E300" s="265"/>
      <c r="F300" s="247"/>
      <c r="G300" s="247"/>
      <c r="H300" s="247"/>
      <c r="I300" s="87"/>
      <c r="J300" s="87"/>
      <c r="K300" s="87"/>
      <c r="L300" s="87"/>
      <c r="M300" s="87"/>
      <c r="N300" s="87"/>
      <c r="O300" s="87"/>
      <c r="P300" s="87"/>
      <c r="Q300" s="88"/>
      <c r="R300" s="304"/>
      <c r="S300" s="147"/>
    </row>
    <row r="301" spans="1:19" s="25" customFormat="1" ht="27.9" customHeight="1" x14ac:dyDescent="0.3">
      <c r="A301" s="236"/>
      <c r="B301" s="248" t="s">
        <v>2</v>
      </c>
      <c r="C301" s="245" t="s">
        <v>188</v>
      </c>
      <c r="D301" s="245" t="s">
        <v>189</v>
      </c>
      <c r="E301" s="248" t="s">
        <v>3</v>
      </c>
      <c r="F301" s="238" t="s">
        <v>4</v>
      </c>
      <c r="G301" s="250" t="s">
        <v>5</v>
      </c>
      <c r="H301" s="238" t="s">
        <v>6</v>
      </c>
      <c r="I301" s="238" t="s">
        <v>7</v>
      </c>
      <c r="J301" s="238" t="s">
        <v>8</v>
      </c>
      <c r="K301" s="238" t="s">
        <v>9</v>
      </c>
      <c r="L301" s="238" t="s">
        <v>10</v>
      </c>
      <c r="M301" s="238" t="s">
        <v>11</v>
      </c>
      <c r="N301" s="238" t="s">
        <v>12</v>
      </c>
      <c r="O301" s="238" t="s">
        <v>13</v>
      </c>
      <c r="P301" s="238" t="s">
        <v>14</v>
      </c>
      <c r="Q301" s="241" t="s">
        <v>15</v>
      </c>
      <c r="R301" s="300" t="s">
        <v>149</v>
      </c>
      <c r="S301" s="162"/>
    </row>
    <row r="302" spans="1:19" s="25" customFormat="1" ht="27.9" customHeight="1" thickBot="1" x14ac:dyDescent="0.35">
      <c r="A302" s="237"/>
      <c r="B302" s="271"/>
      <c r="C302" s="273"/>
      <c r="D302" s="273"/>
      <c r="E302" s="249"/>
      <c r="F302" s="239"/>
      <c r="G302" s="272"/>
      <c r="H302" s="239"/>
      <c r="I302" s="239"/>
      <c r="J302" s="239"/>
      <c r="K302" s="239"/>
      <c r="L302" s="239"/>
      <c r="M302" s="239"/>
      <c r="N302" s="240"/>
      <c r="O302" s="240"/>
      <c r="P302" s="239"/>
      <c r="Q302" s="242"/>
      <c r="R302" s="302"/>
      <c r="S302" s="162"/>
    </row>
    <row r="303" spans="1:19" s="25" customFormat="1" ht="39.9" customHeight="1" x14ac:dyDescent="0.3">
      <c r="A303" s="30"/>
      <c r="B303" s="44" t="s">
        <v>187</v>
      </c>
      <c r="C303" s="44"/>
      <c r="D303" s="44"/>
      <c r="E303" s="44" t="s">
        <v>81</v>
      </c>
      <c r="F303" s="36" t="s">
        <v>17</v>
      </c>
      <c r="G303" s="31"/>
      <c r="H303" s="61">
        <v>286.58</v>
      </c>
      <c r="I303" s="53">
        <v>8716.7800000000007</v>
      </c>
      <c r="J303" s="62"/>
      <c r="K303" s="63">
        <f>+H303*45</f>
        <v>12896.099999999999</v>
      </c>
      <c r="L303" s="63">
        <f>+H303*20*0.25</f>
        <v>1432.8999999999999</v>
      </c>
      <c r="M303" s="61">
        <v>0</v>
      </c>
      <c r="N303" s="62"/>
      <c r="O303" s="61">
        <f>120.39*2</f>
        <v>240.78</v>
      </c>
      <c r="P303" s="62"/>
      <c r="Q303" s="64">
        <f>+I303+M303-O303</f>
        <v>8476</v>
      </c>
      <c r="R303" s="104">
        <f>+Q303/2</f>
        <v>4238</v>
      </c>
      <c r="S303" s="147"/>
    </row>
    <row r="304" spans="1:19" s="6" customFormat="1" ht="30" customHeight="1" thickBot="1" x14ac:dyDescent="0.35">
      <c r="A304" s="7"/>
      <c r="B304" s="56" t="s">
        <v>19</v>
      </c>
      <c r="C304" s="56"/>
      <c r="D304" s="56"/>
      <c r="E304" s="57"/>
      <c r="F304" s="4"/>
      <c r="G304" s="7"/>
      <c r="H304" s="4"/>
      <c r="I304" s="4"/>
      <c r="J304" s="4"/>
      <c r="K304" s="4"/>
      <c r="L304" s="4"/>
      <c r="M304" s="13"/>
      <c r="N304" s="13"/>
      <c r="O304" s="13"/>
      <c r="P304" s="13"/>
      <c r="Q304" s="13"/>
      <c r="R304" s="153"/>
      <c r="S304" s="38"/>
    </row>
    <row r="305" spans="1:19" s="6" customFormat="1" ht="30" customHeight="1" thickBot="1" x14ac:dyDescent="0.35">
      <c r="A305" s="7"/>
      <c r="B305" s="56" t="s">
        <v>20</v>
      </c>
      <c r="C305" s="56"/>
      <c r="D305" s="56"/>
      <c r="E305" s="57"/>
      <c r="F305" s="243" t="s">
        <v>18</v>
      </c>
      <c r="G305" s="244"/>
      <c r="H305" s="244"/>
      <c r="I305" s="17">
        <f>SUM(I303:I303)</f>
        <v>8716.7800000000007</v>
      </c>
      <c r="J305" s="17">
        <f t="shared" ref="J305:Q305" si="58">SUM(J303:J303)</f>
        <v>0</v>
      </c>
      <c r="K305" s="17">
        <f t="shared" si="58"/>
        <v>12896.099999999999</v>
      </c>
      <c r="L305" s="17">
        <f t="shared" si="58"/>
        <v>1432.8999999999999</v>
      </c>
      <c r="M305" s="17">
        <f t="shared" si="58"/>
        <v>0</v>
      </c>
      <c r="N305" s="17">
        <f t="shared" si="58"/>
        <v>0</v>
      </c>
      <c r="O305" s="17">
        <f t="shared" si="58"/>
        <v>240.78</v>
      </c>
      <c r="P305" s="17">
        <f t="shared" si="58"/>
        <v>0</v>
      </c>
      <c r="Q305" s="34">
        <f t="shared" si="58"/>
        <v>8476</v>
      </c>
      <c r="R305" s="152">
        <f>+R303</f>
        <v>4238</v>
      </c>
      <c r="S305" s="159"/>
    </row>
    <row r="306" spans="1:19" ht="30" customHeight="1" thickBot="1" x14ac:dyDescent="0.35">
      <c r="A306" s="9"/>
      <c r="B306" s="56" t="s">
        <v>21</v>
      </c>
      <c r="C306" s="56"/>
      <c r="D306" s="56"/>
      <c r="E306" s="56"/>
      <c r="F306" s="253" t="s">
        <v>484</v>
      </c>
      <c r="G306" s="254"/>
      <c r="H306" s="254"/>
      <c r="I306" s="211">
        <f>+I305*12</f>
        <v>104601.36000000002</v>
      </c>
      <c r="J306" s="209">
        <f t="shared" ref="J306:R306" si="59">+J305*12</f>
        <v>0</v>
      </c>
      <c r="K306" s="211">
        <f>+K305</f>
        <v>12896.099999999999</v>
      </c>
      <c r="L306" s="209">
        <f>+L305</f>
        <v>1432.8999999999999</v>
      </c>
      <c r="M306" s="211">
        <f t="shared" si="59"/>
        <v>0</v>
      </c>
      <c r="N306" s="209">
        <f t="shared" si="59"/>
        <v>0</v>
      </c>
      <c r="O306" s="211">
        <f t="shared" si="59"/>
        <v>2889.36</v>
      </c>
      <c r="P306" s="209">
        <f t="shared" si="59"/>
        <v>0</v>
      </c>
      <c r="Q306" s="211">
        <f t="shared" si="59"/>
        <v>101712</v>
      </c>
      <c r="R306" s="210">
        <f t="shared" si="59"/>
        <v>50856</v>
      </c>
      <c r="S306" s="38"/>
    </row>
    <row r="307" spans="1:19" ht="30" customHeight="1" x14ac:dyDescent="0.3">
      <c r="A307" s="9"/>
      <c r="B307" s="56" t="s">
        <v>22</v>
      </c>
      <c r="C307" s="56"/>
      <c r="D307" s="56"/>
      <c r="E307" s="56"/>
      <c r="F307" s="59"/>
      <c r="G307" s="10"/>
      <c r="H307" s="59"/>
      <c r="I307" s="60"/>
      <c r="J307" s="60"/>
      <c r="K307" s="60"/>
      <c r="L307" s="60"/>
      <c r="M307" s="60"/>
      <c r="N307" s="60"/>
      <c r="O307" s="60"/>
      <c r="P307" s="60"/>
      <c r="Q307" s="60"/>
      <c r="R307" s="153"/>
      <c r="S307" s="38"/>
    </row>
    <row r="308" spans="1:19" ht="30" customHeight="1" x14ac:dyDescent="0.3">
      <c r="A308" s="9"/>
      <c r="B308" s="56" t="s">
        <v>23</v>
      </c>
      <c r="C308" s="56"/>
      <c r="D308" s="56"/>
      <c r="E308" s="56"/>
      <c r="F308" s="59"/>
      <c r="G308" s="10"/>
      <c r="H308" s="59"/>
      <c r="I308" s="60"/>
      <c r="J308" s="60"/>
      <c r="K308" s="60"/>
      <c r="L308" s="60"/>
      <c r="M308" s="60"/>
      <c r="N308" s="60"/>
      <c r="O308" s="60"/>
      <c r="P308" s="60"/>
      <c r="Q308" s="60"/>
      <c r="R308" s="153"/>
      <c r="S308" s="38"/>
    </row>
    <row r="309" spans="1:19" ht="30" customHeight="1" x14ac:dyDescent="0.3">
      <c r="A309" s="9"/>
      <c r="B309" s="56"/>
      <c r="C309" s="56"/>
      <c r="D309" s="56"/>
      <c r="E309" s="56"/>
      <c r="F309" s="59"/>
      <c r="G309" s="10"/>
      <c r="H309" s="59"/>
      <c r="I309" s="60"/>
      <c r="J309" s="60"/>
      <c r="K309" s="60"/>
      <c r="L309" s="60"/>
      <c r="M309" s="60"/>
      <c r="N309" s="60"/>
      <c r="O309" s="60"/>
      <c r="P309" s="60"/>
      <c r="Q309" s="60"/>
      <c r="R309" s="153"/>
      <c r="S309" s="38"/>
    </row>
    <row r="310" spans="1:19" ht="30" customHeight="1" x14ac:dyDescent="0.3">
      <c r="A310" s="9"/>
      <c r="B310" s="56"/>
      <c r="C310" s="56"/>
      <c r="D310" s="56"/>
      <c r="E310" s="56"/>
      <c r="F310" s="59"/>
      <c r="G310" s="10"/>
      <c r="H310" s="59"/>
      <c r="I310" s="60"/>
      <c r="J310" s="60"/>
      <c r="K310" s="60"/>
      <c r="L310" s="60"/>
      <c r="M310" s="60"/>
      <c r="N310" s="60"/>
      <c r="O310" s="60"/>
      <c r="P310" s="60"/>
      <c r="Q310" s="60"/>
      <c r="R310" s="13"/>
      <c r="S310" s="168"/>
    </row>
    <row r="311" spans="1:19" ht="30" customHeight="1" x14ac:dyDescent="0.3">
      <c r="A311" s="9"/>
      <c r="B311" s="56"/>
      <c r="C311" s="56"/>
      <c r="D311" s="56"/>
      <c r="E311" s="56"/>
      <c r="F311" s="59"/>
      <c r="G311" s="10"/>
      <c r="H311" s="59"/>
      <c r="I311" s="60"/>
      <c r="J311" s="60"/>
      <c r="K311" s="60"/>
      <c r="L311" s="60"/>
      <c r="M311" s="60"/>
      <c r="N311" s="60"/>
      <c r="O311" s="60"/>
      <c r="P311" s="60"/>
      <c r="Q311" s="60"/>
      <c r="R311" s="153"/>
      <c r="S311" s="38"/>
    </row>
    <row r="312" spans="1:19" s="18" customFormat="1" ht="30" customHeight="1" x14ac:dyDescent="0.3">
      <c r="A312" s="256" t="s">
        <v>32</v>
      </c>
      <c r="B312" s="256"/>
      <c r="C312" s="256"/>
      <c r="D312" s="256"/>
      <c r="E312" s="256"/>
      <c r="F312" s="256"/>
      <c r="G312" s="256"/>
      <c r="H312" s="256"/>
      <c r="I312" s="256"/>
      <c r="J312" s="256"/>
      <c r="K312" s="256"/>
      <c r="L312" s="256"/>
      <c r="M312" s="256"/>
      <c r="N312" s="256"/>
      <c r="O312" s="256"/>
      <c r="P312" s="256"/>
      <c r="Q312" s="256"/>
      <c r="R312" s="153"/>
      <c r="S312" s="38"/>
    </row>
    <row r="313" spans="1:19" s="18" customFormat="1" ht="30" customHeight="1" x14ac:dyDescent="0.3">
      <c r="A313" s="235" t="s">
        <v>0</v>
      </c>
      <c r="B313" s="235"/>
      <c r="C313" s="235"/>
      <c r="D313" s="235"/>
      <c r="E313" s="235"/>
      <c r="F313" s="235"/>
      <c r="G313" s="235"/>
      <c r="H313" s="235"/>
      <c r="I313" s="235"/>
      <c r="J313" s="235"/>
      <c r="K313" s="235"/>
      <c r="L313" s="235"/>
      <c r="M313" s="235"/>
      <c r="N313" s="235"/>
      <c r="O313" s="235"/>
      <c r="P313" s="235"/>
      <c r="Q313" s="235"/>
      <c r="R313" s="153"/>
      <c r="S313" s="38"/>
    </row>
    <row r="314" spans="1:19" ht="30" customHeight="1" thickBot="1" x14ac:dyDescent="0.35">
      <c r="A314" s="235" t="s">
        <v>210</v>
      </c>
      <c r="B314" s="235"/>
      <c r="C314" s="235"/>
      <c r="D314" s="235"/>
      <c r="E314" s="235"/>
      <c r="F314" s="235"/>
      <c r="G314" s="235"/>
      <c r="H314" s="235"/>
      <c r="I314" s="235"/>
      <c r="J314" s="235"/>
      <c r="K314" s="235"/>
      <c r="L314" s="235"/>
      <c r="M314" s="235"/>
      <c r="N314" s="235"/>
      <c r="O314" s="235"/>
      <c r="P314" s="235"/>
      <c r="Q314" s="235"/>
      <c r="R314" s="153"/>
      <c r="S314" s="38"/>
    </row>
    <row r="315" spans="1:19" s="4" customFormat="1" ht="24.9" customHeight="1" x14ac:dyDescent="0.3">
      <c r="A315" s="115"/>
      <c r="B315" s="267" t="s">
        <v>490</v>
      </c>
      <c r="C315" s="264"/>
      <c r="D315" s="264"/>
      <c r="E315" s="264"/>
      <c r="F315" s="264"/>
      <c r="G315" s="264"/>
      <c r="H315" s="264"/>
      <c r="I315" s="264"/>
      <c r="J315" s="264"/>
      <c r="K315" s="264"/>
      <c r="L315" s="264"/>
      <c r="M315" s="264"/>
      <c r="N315" s="264"/>
      <c r="O315" s="264"/>
      <c r="P315" s="264"/>
      <c r="Q315" s="264"/>
      <c r="R315" s="268"/>
      <c r="S315" s="162"/>
    </row>
    <row r="316" spans="1:19" s="19" customFormat="1" ht="24.9" customHeight="1" thickBot="1" x14ac:dyDescent="0.35">
      <c r="A316" s="116"/>
      <c r="B316" s="269"/>
      <c r="C316" s="265"/>
      <c r="D316" s="265"/>
      <c r="E316" s="265"/>
      <c r="F316" s="265"/>
      <c r="G316" s="265"/>
      <c r="H316" s="265"/>
      <c r="I316" s="265"/>
      <c r="J316" s="265"/>
      <c r="K316" s="265"/>
      <c r="L316" s="265"/>
      <c r="M316" s="265"/>
      <c r="N316" s="265"/>
      <c r="O316" s="265"/>
      <c r="P316" s="265"/>
      <c r="Q316" s="265"/>
      <c r="R316" s="270"/>
      <c r="S316" s="162"/>
    </row>
    <row r="317" spans="1:19" s="7" customFormat="1" ht="27.9" customHeight="1" x14ac:dyDescent="0.3">
      <c r="A317" s="236"/>
      <c r="B317" s="258" t="s">
        <v>2</v>
      </c>
      <c r="C317" s="245" t="s">
        <v>188</v>
      </c>
      <c r="D317" s="245" t="s">
        <v>189</v>
      </c>
      <c r="E317" s="258" t="s">
        <v>3</v>
      </c>
      <c r="F317" s="261" t="s">
        <v>4</v>
      </c>
      <c r="G317" s="263" t="s">
        <v>5</v>
      </c>
      <c r="H317" s="261" t="s">
        <v>6</v>
      </c>
      <c r="I317" s="261" t="s">
        <v>7</v>
      </c>
      <c r="J317" s="261" t="s">
        <v>8</v>
      </c>
      <c r="K317" s="261" t="s">
        <v>9</v>
      </c>
      <c r="L317" s="261" t="s">
        <v>10</v>
      </c>
      <c r="M317" s="261" t="s">
        <v>11</v>
      </c>
      <c r="N317" s="261" t="s">
        <v>12</v>
      </c>
      <c r="O317" s="261" t="s">
        <v>13</v>
      </c>
      <c r="P317" s="261" t="s">
        <v>14</v>
      </c>
      <c r="Q317" s="266" t="s">
        <v>15</v>
      </c>
      <c r="R317" s="300" t="s">
        <v>149</v>
      </c>
      <c r="S317" s="162"/>
    </row>
    <row r="318" spans="1:19" s="7" customFormat="1" ht="27.9" customHeight="1" thickBot="1" x14ac:dyDescent="0.35">
      <c r="A318" s="257"/>
      <c r="B318" s="259"/>
      <c r="C318" s="246"/>
      <c r="D318" s="246"/>
      <c r="E318" s="260"/>
      <c r="F318" s="262"/>
      <c r="G318" s="251"/>
      <c r="H318" s="262"/>
      <c r="I318" s="262"/>
      <c r="J318" s="262"/>
      <c r="K318" s="239"/>
      <c r="L318" s="239"/>
      <c r="M318" s="239"/>
      <c r="N318" s="240"/>
      <c r="O318" s="240"/>
      <c r="P318" s="239"/>
      <c r="Q318" s="242"/>
      <c r="R318" s="301"/>
      <c r="S318" s="162"/>
    </row>
    <row r="319" spans="1:19" s="21" customFormat="1" ht="39.9" customHeight="1" x14ac:dyDescent="0.3">
      <c r="A319" s="101">
        <v>21</v>
      </c>
      <c r="B319" s="127" t="s">
        <v>66</v>
      </c>
      <c r="C319" s="101" t="s">
        <v>331</v>
      </c>
      <c r="D319" s="101" t="s">
        <v>332</v>
      </c>
      <c r="E319" s="127" t="s">
        <v>68</v>
      </c>
      <c r="F319" s="146" t="s">
        <v>16</v>
      </c>
      <c r="G319" s="131">
        <v>45536</v>
      </c>
      <c r="H319" s="61">
        <v>286.58</v>
      </c>
      <c r="I319" s="53">
        <v>8716.7800000000007</v>
      </c>
      <c r="J319" s="62"/>
      <c r="K319" s="63">
        <f t="shared" ref="K319:K348" si="60">+H319*45</f>
        <v>12896.099999999999</v>
      </c>
      <c r="L319" s="63">
        <f t="shared" ref="L319:L348" si="61">+H319*20*0.25</f>
        <v>1432.8999999999999</v>
      </c>
      <c r="M319" s="61">
        <v>0</v>
      </c>
      <c r="N319" s="62"/>
      <c r="O319" s="61">
        <f>120.39*2</f>
        <v>240.78</v>
      </c>
      <c r="P319" s="62"/>
      <c r="Q319" s="64">
        <f>+I319+M319-O319</f>
        <v>8476</v>
      </c>
      <c r="R319" s="104">
        <f t="shared" ref="R319:R348" si="62">+Q319/2</f>
        <v>4238</v>
      </c>
      <c r="S319" s="147"/>
    </row>
    <row r="320" spans="1:19" s="165" customFormat="1" ht="39.9" customHeight="1" x14ac:dyDescent="0.3">
      <c r="A320" s="101">
        <v>37</v>
      </c>
      <c r="B320" s="127" t="s">
        <v>67</v>
      </c>
      <c r="C320" s="101" t="s">
        <v>333</v>
      </c>
      <c r="D320" s="101" t="s">
        <v>334</v>
      </c>
      <c r="E320" s="127" t="s">
        <v>377</v>
      </c>
      <c r="F320" s="146" t="s">
        <v>16</v>
      </c>
      <c r="G320" s="131">
        <v>44440</v>
      </c>
      <c r="H320" s="51">
        <v>515.86860000000001</v>
      </c>
      <c r="I320" s="63">
        <f>7841*2</f>
        <v>15682</v>
      </c>
      <c r="J320" s="52"/>
      <c r="K320" s="63">
        <f t="shared" si="60"/>
        <v>23214.087</v>
      </c>
      <c r="L320" s="63">
        <f t="shared" si="61"/>
        <v>2579.3429999999998</v>
      </c>
      <c r="M320" s="53">
        <v>0</v>
      </c>
      <c r="N320" s="52"/>
      <c r="O320" s="51">
        <f>841*2</f>
        <v>1682</v>
      </c>
      <c r="P320" s="52"/>
      <c r="Q320" s="55">
        <f>+I320-O320</f>
        <v>14000</v>
      </c>
      <c r="R320" s="104">
        <f t="shared" si="62"/>
        <v>7000</v>
      </c>
      <c r="S320" s="147"/>
    </row>
    <row r="321" spans="1:19" s="21" customFormat="1" ht="39.9" customHeight="1" x14ac:dyDescent="0.3">
      <c r="A321" s="101">
        <v>71</v>
      </c>
      <c r="B321" s="127" t="s">
        <v>78</v>
      </c>
      <c r="C321" s="101" t="s">
        <v>335</v>
      </c>
      <c r="D321" s="101" t="s">
        <v>336</v>
      </c>
      <c r="E321" s="127" t="s">
        <v>68</v>
      </c>
      <c r="F321" s="146" t="s">
        <v>17</v>
      </c>
      <c r="G321" s="131">
        <v>45612</v>
      </c>
      <c r="H321" s="61">
        <v>286.58</v>
      </c>
      <c r="I321" s="53">
        <v>8716.7800000000007</v>
      </c>
      <c r="J321" s="62"/>
      <c r="K321" s="63">
        <f t="shared" si="60"/>
        <v>12896.099999999999</v>
      </c>
      <c r="L321" s="63">
        <f t="shared" si="61"/>
        <v>1432.8999999999999</v>
      </c>
      <c r="M321" s="61">
        <v>0</v>
      </c>
      <c r="N321" s="62"/>
      <c r="O321" s="61">
        <f>120.39*2</f>
        <v>240.78</v>
      </c>
      <c r="P321" s="62"/>
      <c r="Q321" s="64">
        <f>+I321+M321-O321</f>
        <v>8476</v>
      </c>
      <c r="R321" s="104">
        <f t="shared" si="62"/>
        <v>4238</v>
      </c>
      <c r="S321" s="147"/>
    </row>
    <row r="322" spans="1:19" s="165" customFormat="1" ht="39.9" customHeight="1" x14ac:dyDescent="0.3">
      <c r="A322" s="101">
        <v>73</v>
      </c>
      <c r="B322" s="127" t="s">
        <v>134</v>
      </c>
      <c r="C322" s="101" t="s">
        <v>337</v>
      </c>
      <c r="D322" s="101" t="s">
        <v>338</v>
      </c>
      <c r="E322" s="127" t="s">
        <v>93</v>
      </c>
      <c r="F322" s="146" t="s">
        <v>17</v>
      </c>
      <c r="G322" s="131">
        <v>44667</v>
      </c>
      <c r="H322" s="230">
        <v>603.91039999999998</v>
      </c>
      <c r="I322" s="230">
        <f>9179*2</f>
        <v>18358</v>
      </c>
      <c r="J322" s="63"/>
      <c r="K322" s="63">
        <f t="shared" si="60"/>
        <v>27175.968000000001</v>
      </c>
      <c r="L322" s="63">
        <f t="shared" si="61"/>
        <v>3019.5519999999997</v>
      </c>
      <c r="M322" s="61">
        <v>0</v>
      </c>
      <c r="N322" s="63"/>
      <c r="O322" s="230">
        <f>1127*2</f>
        <v>2254</v>
      </c>
      <c r="P322" s="62"/>
      <c r="Q322" s="180">
        <f>+I322-O322</f>
        <v>16104</v>
      </c>
      <c r="R322" s="96">
        <f t="shared" si="62"/>
        <v>8052</v>
      </c>
      <c r="S322" s="147"/>
    </row>
    <row r="323" spans="1:19" s="21" customFormat="1" ht="39.9" customHeight="1" x14ac:dyDescent="0.3">
      <c r="A323" s="101">
        <v>90</v>
      </c>
      <c r="B323" s="127" t="s">
        <v>90</v>
      </c>
      <c r="C323" s="101" t="s">
        <v>339</v>
      </c>
      <c r="D323" s="101" t="s">
        <v>340</v>
      </c>
      <c r="E323" s="127" t="s">
        <v>68</v>
      </c>
      <c r="F323" s="146" t="s">
        <v>17</v>
      </c>
      <c r="G323" s="131">
        <v>45078</v>
      </c>
      <c r="H323" s="61">
        <v>286.58</v>
      </c>
      <c r="I323" s="53">
        <v>8716.7800000000007</v>
      </c>
      <c r="J323" s="62"/>
      <c r="K323" s="63">
        <f t="shared" si="60"/>
        <v>12896.099999999999</v>
      </c>
      <c r="L323" s="63">
        <f t="shared" si="61"/>
        <v>1432.8999999999999</v>
      </c>
      <c r="M323" s="61">
        <v>0</v>
      </c>
      <c r="N323" s="62"/>
      <c r="O323" s="61">
        <f>120.39*2</f>
        <v>240.78</v>
      </c>
      <c r="P323" s="62"/>
      <c r="Q323" s="64">
        <f>+I323+M323-O323</f>
        <v>8476</v>
      </c>
      <c r="R323" s="104">
        <f t="shared" si="62"/>
        <v>4238</v>
      </c>
      <c r="S323" s="147"/>
    </row>
    <row r="324" spans="1:19" s="19" customFormat="1" ht="39.9" customHeight="1" x14ac:dyDescent="0.3">
      <c r="A324" s="101">
        <v>92</v>
      </c>
      <c r="B324" s="127" t="s">
        <v>91</v>
      </c>
      <c r="C324" s="101" t="s">
        <v>341</v>
      </c>
      <c r="D324" s="101" t="s">
        <v>342</v>
      </c>
      <c r="E324" s="127" t="s">
        <v>68</v>
      </c>
      <c r="F324" s="146" t="s">
        <v>17</v>
      </c>
      <c r="G324" s="131">
        <v>45154</v>
      </c>
      <c r="H324" s="61">
        <v>286.58</v>
      </c>
      <c r="I324" s="53">
        <v>8716.7800000000007</v>
      </c>
      <c r="J324" s="62"/>
      <c r="K324" s="63">
        <f t="shared" si="60"/>
        <v>12896.099999999999</v>
      </c>
      <c r="L324" s="63">
        <f t="shared" si="61"/>
        <v>1432.8999999999999</v>
      </c>
      <c r="M324" s="61">
        <v>0</v>
      </c>
      <c r="N324" s="62"/>
      <c r="O324" s="61">
        <f>120.39*2</f>
        <v>240.78</v>
      </c>
      <c r="P324" s="62"/>
      <c r="Q324" s="64">
        <f>+I324+M324-O324</f>
        <v>8476</v>
      </c>
      <c r="R324" s="104">
        <f t="shared" si="62"/>
        <v>4238</v>
      </c>
      <c r="S324" s="147"/>
    </row>
    <row r="325" spans="1:19" s="19" customFormat="1" ht="39.9" customHeight="1" x14ac:dyDescent="0.3">
      <c r="A325" s="101">
        <v>93</v>
      </c>
      <c r="B325" s="127" t="s">
        <v>92</v>
      </c>
      <c r="C325" s="101" t="s">
        <v>343</v>
      </c>
      <c r="D325" s="101" t="s">
        <v>344</v>
      </c>
      <c r="E325" s="127" t="s">
        <v>68</v>
      </c>
      <c r="F325" s="146" t="s">
        <v>17</v>
      </c>
      <c r="G325" s="131">
        <v>45170</v>
      </c>
      <c r="H325" s="61">
        <v>286.58</v>
      </c>
      <c r="I325" s="53">
        <v>8716.7800000000007</v>
      </c>
      <c r="J325" s="62"/>
      <c r="K325" s="63">
        <f t="shared" si="60"/>
        <v>12896.099999999999</v>
      </c>
      <c r="L325" s="63">
        <f t="shared" si="61"/>
        <v>1432.8999999999999</v>
      </c>
      <c r="M325" s="61">
        <v>0</v>
      </c>
      <c r="N325" s="62"/>
      <c r="O325" s="61">
        <f>120.39*2</f>
        <v>240.78</v>
      </c>
      <c r="P325" s="62"/>
      <c r="Q325" s="64">
        <f>+I325+M325-O325</f>
        <v>8476</v>
      </c>
      <c r="R325" s="104">
        <f t="shared" si="62"/>
        <v>4238</v>
      </c>
      <c r="S325" s="147"/>
    </row>
    <row r="326" spans="1:19" s="19" customFormat="1" ht="39.9" customHeight="1" x14ac:dyDescent="0.3">
      <c r="A326" s="101">
        <v>95</v>
      </c>
      <c r="B326" s="127" t="s">
        <v>179</v>
      </c>
      <c r="C326" s="101" t="s">
        <v>345</v>
      </c>
      <c r="D326" s="101" t="s">
        <v>346</v>
      </c>
      <c r="E326" s="127" t="s">
        <v>68</v>
      </c>
      <c r="F326" s="146" t="s">
        <v>17</v>
      </c>
      <c r="G326" s="131">
        <v>45215</v>
      </c>
      <c r="H326" s="61">
        <v>286.58</v>
      </c>
      <c r="I326" s="53">
        <v>8716.7800000000007</v>
      </c>
      <c r="J326" s="62"/>
      <c r="K326" s="63">
        <f t="shared" si="60"/>
        <v>12896.099999999999</v>
      </c>
      <c r="L326" s="63">
        <f t="shared" si="61"/>
        <v>1432.8999999999999</v>
      </c>
      <c r="M326" s="61">
        <v>0</v>
      </c>
      <c r="N326" s="62"/>
      <c r="O326" s="61">
        <f>120.39*2</f>
        <v>240.78</v>
      </c>
      <c r="P326" s="62"/>
      <c r="Q326" s="64">
        <f>+I326+M326-O326</f>
        <v>8476</v>
      </c>
      <c r="R326" s="104">
        <f t="shared" si="62"/>
        <v>4238</v>
      </c>
      <c r="S326" s="147"/>
    </row>
    <row r="327" spans="1:19" s="19" customFormat="1" ht="39.9" customHeight="1" x14ac:dyDescent="0.3">
      <c r="A327" s="101">
        <v>112</v>
      </c>
      <c r="B327" s="127" t="s">
        <v>146</v>
      </c>
      <c r="C327" s="101" t="s">
        <v>347</v>
      </c>
      <c r="D327" s="101" t="s">
        <v>348</v>
      </c>
      <c r="E327" s="127" t="s">
        <v>68</v>
      </c>
      <c r="F327" s="146" t="s">
        <v>17</v>
      </c>
      <c r="G327" s="131">
        <v>45428</v>
      </c>
      <c r="H327" s="61">
        <v>286.58</v>
      </c>
      <c r="I327" s="53">
        <v>8716.7800000000007</v>
      </c>
      <c r="J327" s="62"/>
      <c r="K327" s="63">
        <f t="shared" si="60"/>
        <v>12896.099999999999</v>
      </c>
      <c r="L327" s="63">
        <f t="shared" si="61"/>
        <v>1432.8999999999999</v>
      </c>
      <c r="M327" s="61">
        <v>0</v>
      </c>
      <c r="N327" s="62"/>
      <c r="O327" s="61">
        <f>120.39*2</f>
        <v>240.78</v>
      </c>
      <c r="P327" s="62"/>
      <c r="Q327" s="64">
        <f>+I327+M327-O327</f>
        <v>8476</v>
      </c>
      <c r="R327" s="104">
        <f t="shared" si="62"/>
        <v>4238</v>
      </c>
      <c r="S327" s="147"/>
    </row>
    <row r="328" spans="1:19" s="167" customFormat="1" ht="39.9" customHeight="1" x14ac:dyDescent="0.3">
      <c r="A328" s="101">
        <v>115</v>
      </c>
      <c r="B328" s="127" t="s">
        <v>136</v>
      </c>
      <c r="C328" s="101" t="s">
        <v>349</v>
      </c>
      <c r="D328" s="101" t="s">
        <v>350</v>
      </c>
      <c r="E328" s="127" t="s">
        <v>186</v>
      </c>
      <c r="F328" s="146" t="s">
        <v>17</v>
      </c>
      <c r="G328" s="131">
        <v>45536</v>
      </c>
      <c r="H328" s="129">
        <v>441.61959999999999</v>
      </c>
      <c r="I328" s="129">
        <f>6713*2</f>
        <v>13426</v>
      </c>
      <c r="J328" s="63"/>
      <c r="K328" s="63">
        <f t="shared" si="60"/>
        <v>19872.881999999998</v>
      </c>
      <c r="L328" s="63">
        <f t="shared" si="61"/>
        <v>2208.098</v>
      </c>
      <c r="M328" s="61">
        <v>0</v>
      </c>
      <c r="N328" s="63"/>
      <c r="O328" s="230">
        <f>635*2</f>
        <v>1270</v>
      </c>
      <c r="P328" s="184"/>
      <c r="Q328" s="180">
        <f>+I328-O328</f>
        <v>12156</v>
      </c>
      <c r="R328" s="96">
        <f t="shared" si="62"/>
        <v>6078</v>
      </c>
      <c r="S328" s="147"/>
    </row>
    <row r="329" spans="1:19" s="167" customFormat="1" ht="39.9" customHeight="1" x14ac:dyDescent="0.3">
      <c r="A329" s="101">
        <v>116</v>
      </c>
      <c r="B329" s="127" t="s">
        <v>137</v>
      </c>
      <c r="C329" s="101" t="s">
        <v>351</v>
      </c>
      <c r="D329" s="101" t="s">
        <v>352</v>
      </c>
      <c r="E329" s="127" t="s">
        <v>186</v>
      </c>
      <c r="F329" s="146" t="s">
        <v>17</v>
      </c>
      <c r="G329" s="131">
        <v>45536</v>
      </c>
      <c r="H329" s="129">
        <v>441.61959999999999</v>
      </c>
      <c r="I329" s="129">
        <f>6713*2</f>
        <v>13426</v>
      </c>
      <c r="J329" s="63"/>
      <c r="K329" s="63">
        <f t="shared" si="60"/>
        <v>19872.881999999998</v>
      </c>
      <c r="L329" s="63">
        <f t="shared" si="61"/>
        <v>2208.098</v>
      </c>
      <c r="M329" s="61">
        <v>0</v>
      </c>
      <c r="N329" s="63"/>
      <c r="O329" s="230">
        <f>635*2</f>
        <v>1270</v>
      </c>
      <c r="P329" s="184"/>
      <c r="Q329" s="180">
        <f>+I329-O329</f>
        <v>12156</v>
      </c>
      <c r="R329" s="96">
        <f t="shared" si="62"/>
        <v>6078</v>
      </c>
      <c r="S329" s="147"/>
    </row>
    <row r="330" spans="1:19" s="19" customFormat="1" ht="39.9" customHeight="1" x14ac:dyDescent="0.3">
      <c r="A330" s="101">
        <v>117</v>
      </c>
      <c r="B330" s="127" t="s">
        <v>328</v>
      </c>
      <c r="C330" s="101" t="s">
        <v>353</v>
      </c>
      <c r="D330" s="101" t="s">
        <v>354</v>
      </c>
      <c r="E330" s="127" t="s">
        <v>68</v>
      </c>
      <c r="F330" s="146" t="s">
        <v>17</v>
      </c>
      <c r="G330" s="131">
        <v>45536</v>
      </c>
      <c r="H330" s="61">
        <v>286.58</v>
      </c>
      <c r="I330" s="53">
        <v>8716.7800000000007</v>
      </c>
      <c r="J330" s="62"/>
      <c r="K330" s="63">
        <f t="shared" si="60"/>
        <v>12896.099999999999</v>
      </c>
      <c r="L330" s="63">
        <f t="shared" si="61"/>
        <v>1432.8999999999999</v>
      </c>
      <c r="M330" s="61">
        <v>0</v>
      </c>
      <c r="N330" s="62"/>
      <c r="O330" s="61">
        <f t="shared" ref="O330:O348" si="63">120.39*2</f>
        <v>240.78</v>
      </c>
      <c r="P330" s="62"/>
      <c r="Q330" s="64">
        <f t="shared" ref="Q330:Q348" si="64">+I330+M330-O330</f>
        <v>8476</v>
      </c>
      <c r="R330" s="104">
        <f t="shared" si="62"/>
        <v>4238</v>
      </c>
      <c r="S330" s="147"/>
    </row>
    <row r="331" spans="1:19" s="19" customFormat="1" ht="39.9" customHeight="1" x14ac:dyDescent="0.3">
      <c r="A331" s="101">
        <v>118</v>
      </c>
      <c r="B331" s="127" t="s">
        <v>135</v>
      </c>
      <c r="C331" s="101" t="s">
        <v>355</v>
      </c>
      <c r="D331" s="101" t="s">
        <v>356</v>
      </c>
      <c r="E331" s="127" t="s">
        <v>68</v>
      </c>
      <c r="F331" s="146" t="s">
        <v>17</v>
      </c>
      <c r="G331" s="131">
        <v>45536</v>
      </c>
      <c r="H331" s="61">
        <v>286.58</v>
      </c>
      <c r="I331" s="53">
        <v>8716.7800000000007</v>
      </c>
      <c r="J331" s="62"/>
      <c r="K331" s="63">
        <f t="shared" si="60"/>
        <v>12896.099999999999</v>
      </c>
      <c r="L331" s="63">
        <f t="shared" si="61"/>
        <v>1432.8999999999999</v>
      </c>
      <c r="M331" s="61">
        <v>0</v>
      </c>
      <c r="N331" s="62"/>
      <c r="O331" s="61">
        <f t="shared" si="63"/>
        <v>240.78</v>
      </c>
      <c r="P331" s="62"/>
      <c r="Q331" s="64">
        <f t="shared" si="64"/>
        <v>8476</v>
      </c>
      <c r="R331" s="104">
        <f t="shared" si="62"/>
        <v>4238</v>
      </c>
      <c r="S331" s="147"/>
    </row>
    <row r="332" spans="1:19" s="19" customFormat="1" ht="39.9" customHeight="1" x14ac:dyDescent="0.3">
      <c r="A332" s="101">
        <v>119</v>
      </c>
      <c r="B332" s="127" t="s">
        <v>138</v>
      </c>
      <c r="C332" s="101" t="s">
        <v>357</v>
      </c>
      <c r="D332" s="101" t="s">
        <v>358</v>
      </c>
      <c r="E332" s="127" t="s">
        <v>68</v>
      </c>
      <c r="F332" s="146" t="s">
        <v>17</v>
      </c>
      <c r="G332" s="131">
        <v>45536</v>
      </c>
      <c r="H332" s="61">
        <v>286.58</v>
      </c>
      <c r="I332" s="53">
        <v>8716.7800000000007</v>
      </c>
      <c r="J332" s="62"/>
      <c r="K332" s="63">
        <f t="shared" si="60"/>
        <v>12896.099999999999</v>
      </c>
      <c r="L332" s="63">
        <f t="shared" si="61"/>
        <v>1432.8999999999999</v>
      </c>
      <c r="M332" s="61">
        <v>0</v>
      </c>
      <c r="N332" s="62"/>
      <c r="O332" s="61">
        <f t="shared" si="63"/>
        <v>240.78</v>
      </c>
      <c r="P332" s="62"/>
      <c r="Q332" s="64">
        <f t="shared" si="64"/>
        <v>8476</v>
      </c>
      <c r="R332" s="104">
        <f t="shared" si="62"/>
        <v>4238</v>
      </c>
      <c r="S332" s="147"/>
    </row>
    <row r="333" spans="1:19" s="19" customFormat="1" ht="39.9" customHeight="1" x14ac:dyDescent="0.3">
      <c r="A333" s="101">
        <v>121</v>
      </c>
      <c r="B333" s="127" t="s">
        <v>139</v>
      </c>
      <c r="C333" s="101" t="s">
        <v>359</v>
      </c>
      <c r="D333" s="101" t="s">
        <v>360</v>
      </c>
      <c r="E333" s="127" t="s">
        <v>68</v>
      </c>
      <c r="F333" s="146" t="s">
        <v>17</v>
      </c>
      <c r="G333" s="131">
        <v>45536</v>
      </c>
      <c r="H333" s="61">
        <v>286.58</v>
      </c>
      <c r="I333" s="53">
        <v>8716.7800000000007</v>
      </c>
      <c r="J333" s="62"/>
      <c r="K333" s="63">
        <f t="shared" si="60"/>
        <v>12896.099999999999</v>
      </c>
      <c r="L333" s="63">
        <f t="shared" si="61"/>
        <v>1432.8999999999999</v>
      </c>
      <c r="M333" s="61">
        <v>0</v>
      </c>
      <c r="N333" s="62"/>
      <c r="O333" s="61">
        <f t="shared" si="63"/>
        <v>240.78</v>
      </c>
      <c r="P333" s="62"/>
      <c r="Q333" s="64">
        <f t="shared" si="64"/>
        <v>8476</v>
      </c>
      <c r="R333" s="104">
        <f t="shared" si="62"/>
        <v>4238</v>
      </c>
      <c r="S333" s="147"/>
    </row>
    <row r="334" spans="1:19" s="19" customFormat="1" ht="39.9" customHeight="1" x14ac:dyDescent="0.3">
      <c r="A334" s="101">
        <v>122</v>
      </c>
      <c r="B334" s="127" t="s">
        <v>140</v>
      </c>
      <c r="C334" s="101" t="s">
        <v>361</v>
      </c>
      <c r="D334" s="101" t="s">
        <v>362</v>
      </c>
      <c r="E334" s="127" t="s">
        <v>68</v>
      </c>
      <c r="F334" s="146" t="s">
        <v>17</v>
      </c>
      <c r="G334" s="131">
        <v>45536</v>
      </c>
      <c r="H334" s="61">
        <v>286.58</v>
      </c>
      <c r="I334" s="53">
        <v>8716.7800000000007</v>
      </c>
      <c r="J334" s="62"/>
      <c r="K334" s="63">
        <f t="shared" si="60"/>
        <v>12896.099999999999</v>
      </c>
      <c r="L334" s="63">
        <f t="shared" si="61"/>
        <v>1432.8999999999999</v>
      </c>
      <c r="M334" s="61">
        <v>0</v>
      </c>
      <c r="N334" s="62"/>
      <c r="O334" s="61">
        <f t="shared" si="63"/>
        <v>240.78</v>
      </c>
      <c r="P334" s="62"/>
      <c r="Q334" s="64">
        <f t="shared" si="64"/>
        <v>8476</v>
      </c>
      <c r="R334" s="104">
        <f t="shared" si="62"/>
        <v>4238</v>
      </c>
      <c r="S334" s="147"/>
    </row>
    <row r="335" spans="1:19" s="19" customFormat="1" ht="39.9" customHeight="1" x14ac:dyDescent="0.3">
      <c r="A335" s="101">
        <v>123</v>
      </c>
      <c r="B335" s="127" t="s">
        <v>141</v>
      </c>
      <c r="C335" s="101" t="s">
        <v>363</v>
      </c>
      <c r="D335" s="101" t="s">
        <v>364</v>
      </c>
      <c r="E335" s="127" t="s">
        <v>68</v>
      </c>
      <c r="F335" s="146" t="s">
        <v>17</v>
      </c>
      <c r="G335" s="131">
        <v>45536</v>
      </c>
      <c r="H335" s="61">
        <v>286.58</v>
      </c>
      <c r="I335" s="53">
        <v>8716.7800000000007</v>
      </c>
      <c r="J335" s="62"/>
      <c r="K335" s="63">
        <f t="shared" si="60"/>
        <v>12896.099999999999</v>
      </c>
      <c r="L335" s="63">
        <f t="shared" si="61"/>
        <v>1432.8999999999999</v>
      </c>
      <c r="M335" s="61">
        <v>0</v>
      </c>
      <c r="N335" s="62"/>
      <c r="O335" s="61">
        <f t="shared" si="63"/>
        <v>240.78</v>
      </c>
      <c r="P335" s="62"/>
      <c r="Q335" s="64">
        <f t="shared" si="64"/>
        <v>8476</v>
      </c>
      <c r="R335" s="104">
        <f t="shared" si="62"/>
        <v>4238</v>
      </c>
      <c r="S335" s="147"/>
    </row>
    <row r="336" spans="1:19" s="19" customFormat="1" ht="39.9" customHeight="1" x14ac:dyDescent="0.3">
      <c r="A336" s="101">
        <v>124</v>
      </c>
      <c r="B336" s="127" t="s">
        <v>142</v>
      </c>
      <c r="C336" s="101" t="s">
        <v>365</v>
      </c>
      <c r="D336" s="101" t="s">
        <v>366</v>
      </c>
      <c r="E336" s="127" t="s">
        <v>68</v>
      </c>
      <c r="F336" s="146" t="s">
        <v>17</v>
      </c>
      <c r="G336" s="131">
        <v>45536</v>
      </c>
      <c r="H336" s="61">
        <v>286.58</v>
      </c>
      <c r="I336" s="53">
        <v>8716.7800000000007</v>
      </c>
      <c r="J336" s="62"/>
      <c r="K336" s="63">
        <f t="shared" si="60"/>
        <v>12896.099999999999</v>
      </c>
      <c r="L336" s="63">
        <f t="shared" si="61"/>
        <v>1432.8999999999999</v>
      </c>
      <c r="M336" s="61">
        <v>0</v>
      </c>
      <c r="N336" s="62"/>
      <c r="O336" s="61">
        <f t="shared" si="63"/>
        <v>240.78</v>
      </c>
      <c r="P336" s="62"/>
      <c r="Q336" s="64">
        <f t="shared" si="64"/>
        <v>8476</v>
      </c>
      <c r="R336" s="104">
        <f t="shared" si="62"/>
        <v>4238</v>
      </c>
      <c r="S336" s="147"/>
    </row>
    <row r="337" spans="1:19" s="19" customFormat="1" ht="39.9" customHeight="1" x14ac:dyDescent="0.3">
      <c r="A337" s="101">
        <v>125</v>
      </c>
      <c r="B337" s="127" t="s">
        <v>143</v>
      </c>
      <c r="C337" s="101" t="s">
        <v>367</v>
      </c>
      <c r="D337" s="101" t="s">
        <v>368</v>
      </c>
      <c r="E337" s="127" t="s">
        <v>68</v>
      </c>
      <c r="F337" s="146" t="s">
        <v>17</v>
      </c>
      <c r="G337" s="131">
        <v>45536</v>
      </c>
      <c r="H337" s="61">
        <v>286.58</v>
      </c>
      <c r="I337" s="53">
        <v>8716.7800000000007</v>
      </c>
      <c r="J337" s="62"/>
      <c r="K337" s="63">
        <f t="shared" si="60"/>
        <v>12896.099999999999</v>
      </c>
      <c r="L337" s="63">
        <f t="shared" si="61"/>
        <v>1432.8999999999999</v>
      </c>
      <c r="M337" s="61">
        <v>0</v>
      </c>
      <c r="N337" s="62"/>
      <c r="O337" s="61">
        <f t="shared" si="63"/>
        <v>240.78</v>
      </c>
      <c r="P337" s="62"/>
      <c r="Q337" s="64">
        <f t="shared" si="64"/>
        <v>8476</v>
      </c>
      <c r="R337" s="104">
        <f t="shared" si="62"/>
        <v>4238</v>
      </c>
      <c r="S337" s="147"/>
    </row>
    <row r="338" spans="1:19" s="19" customFormat="1" ht="39.6" customHeight="1" x14ac:dyDescent="0.3">
      <c r="A338" s="101">
        <v>127</v>
      </c>
      <c r="B338" s="127" t="s">
        <v>144</v>
      </c>
      <c r="C338" s="101" t="s">
        <v>369</v>
      </c>
      <c r="D338" s="101" t="s">
        <v>370</v>
      </c>
      <c r="E338" s="127" t="s">
        <v>68</v>
      </c>
      <c r="F338" s="146" t="s">
        <v>17</v>
      </c>
      <c r="G338" s="131">
        <v>45536</v>
      </c>
      <c r="H338" s="61">
        <v>286.58</v>
      </c>
      <c r="I338" s="53">
        <v>8716.7800000000007</v>
      </c>
      <c r="J338" s="62"/>
      <c r="K338" s="63">
        <f t="shared" si="60"/>
        <v>12896.099999999999</v>
      </c>
      <c r="L338" s="63">
        <f t="shared" si="61"/>
        <v>1432.8999999999999</v>
      </c>
      <c r="M338" s="61">
        <v>0</v>
      </c>
      <c r="N338" s="62"/>
      <c r="O338" s="61">
        <f t="shared" si="63"/>
        <v>240.78</v>
      </c>
      <c r="P338" s="62"/>
      <c r="Q338" s="64">
        <f t="shared" si="64"/>
        <v>8476</v>
      </c>
      <c r="R338" s="104">
        <f t="shared" si="62"/>
        <v>4238</v>
      </c>
      <c r="S338" s="147"/>
    </row>
    <row r="339" spans="1:19" s="19" customFormat="1" ht="39.9" customHeight="1" x14ac:dyDescent="0.3">
      <c r="A339" s="101">
        <v>131</v>
      </c>
      <c r="B339" s="127" t="s">
        <v>145</v>
      </c>
      <c r="C339" s="101" t="s">
        <v>371</v>
      </c>
      <c r="D339" s="101" t="s">
        <v>372</v>
      </c>
      <c r="E339" s="127" t="s">
        <v>68</v>
      </c>
      <c r="F339" s="146" t="s">
        <v>17</v>
      </c>
      <c r="G339" s="131">
        <v>45536</v>
      </c>
      <c r="H339" s="61">
        <v>286.58</v>
      </c>
      <c r="I339" s="53">
        <v>8716.7800000000007</v>
      </c>
      <c r="J339" s="62"/>
      <c r="K339" s="63">
        <f t="shared" si="60"/>
        <v>12896.099999999999</v>
      </c>
      <c r="L339" s="63">
        <f t="shared" si="61"/>
        <v>1432.8999999999999</v>
      </c>
      <c r="M339" s="61">
        <v>0</v>
      </c>
      <c r="N339" s="62"/>
      <c r="O339" s="61">
        <f t="shared" si="63"/>
        <v>240.78</v>
      </c>
      <c r="P339" s="62"/>
      <c r="Q339" s="64">
        <f t="shared" si="64"/>
        <v>8476</v>
      </c>
      <c r="R339" s="104">
        <f t="shared" si="62"/>
        <v>4238</v>
      </c>
      <c r="S339" s="147"/>
    </row>
    <row r="340" spans="1:19" s="19" customFormat="1" ht="39.9" customHeight="1" x14ac:dyDescent="0.3">
      <c r="A340" s="101">
        <v>141</v>
      </c>
      <c r="B340" s="127" t="s">
        <v>329</v>
      </c>
      <c r="C340" s="101" t="s">
        <v>373</v>
      </c>
      <c r="D340" s="101" t="s">
        <v>374</v>
      </c>
      <c r="E340" s="127" t="s">
        <v>89</v>
      </c>
      <c r="F340" s="146" t="s">
        <v>17</v>
      </c>
      <c r="G340" s="131">
        <v>45566</v>
      </c>
      <c r="H340" s="61">
        <v>286.58</v>
      </c>
      <c r="I340" s="53">
        <v>8716.7800000000007</v>
      </c>
      <c r="J340" s="62"/>
      <c r="K340" s="63">
        <f t="shared" si="60"/>
        <v>12896.099999999999</v>
      </c>
      <c r="L340" s="63">
        <f t="shared" si="61"/>
        <v>1432.8999999999999</v>
      </c>
      <c r="M340" s="61">
        <v>0</v>
      </c>
      <c r="N340" s="62"/>
      <c r="O340" s="61">
        <f t="shared" si="63"/>
        <v>240.78</v>
      </c>
      <c r="P340" s="62"/>
      <c r="Q340" s="64">
        <f t="shared" si="64"/>
        <v>8476</v>
      </c>
      <c r="R340" s="104">
        <f t="shared" si="62"/>
        <v>4238</v>
      </c>
      <c r="S340" s="147"/>
    </row>
    <row r="341" spans="1:19" s="19" customFormat="1" ht="39.9" customHeight="1" x14ac:dyDescent="0.3">
      <c r="A341" s="101">
        <v>143</v>
      </c>
      <c r="B341" s="127" t="s">
        <v>330</v>
      </c>
      <c r="C341" s="101" t="s">
        <v>375</v>
      </c>
      <c r="D341" s="101" t="s">
        <v>376</v>
      </c>
      <c r="E341" s="127" t="s">
        <v>68</v>
      </c>
      <c r="F341" s="146" t="s">
        <v>17</v>
      </c>
      <c r="G341" s="131">
        <v>45566</v>
      </c>
      <c r="H341" s="61">
        <v>286.58</v>
      </c>
      <c r="I341" s="53">
        <v>8716.7800000000007</v>
      </c>
      <c r="J341" s="62"/>
      <c r="K341" s="63">
        <f t="shared" ref="K341:K347" si="65">+H341*45</f>
        <v>12896.099999999999</v>
      </c>
      <c r="L341" s="63">
        <f t="shared" ref="L341:L347" si="66">+H341*20*0.25</f>
        <v>1432.8999999999999</v>
      </c>
      <c r="M341" s="61">
        <v>0</v>
      </c>
      <c r="N341" s="62"/>
      <c r="O341" s="61">
        <f t="shared" si="63"/>
        <v>240.78</v>
      </c>
      <c r="P341" s="62"/>
      <c r="Q341" s="64">
        <f t="shared" ref="Q341:Q347" si="67">+I341+M341-O341</f>
        <v>8476</v>
      </c>
      <c r="R341" s="104">
        <f t="shared" si="62"/>
        <v>4238</v>
      </c>
      <c r="S341" s="147"/>
    </row>
    <row r="342" spans="1:19" s="19" customFormat="1" ht="39.9" customHeight="1" x14ac:dyDescent="0.3">
      <c r="A342" s="101"/>
      <c r="B342" s="127" t="s">
        <v>187</v>
      </c>
      <c r="C342" s="101"/>
      <c r="D342" s="101"/>
      <c r="E342" s="127" t="s">
        <v>89</v>
      </c>
      <c r="F342" s="146" t="s">
        <v>17</v>
      </c>
      <c r="G342" s="131">
        <v>45566</v>
      </c>
      <c r="H342" s="61">
        <v>286.58</v>
      </c>
      <c r="I342" s="53">
        <v>8716.7800000000007</v>
      </c>
      <c r="J342" s="62"/>
      <c r="K342" s="63">
        <f t="shared" ref="K342" si="68">+H342*45</f>
        <v>12896.099999999999</v>
      </c>
      <c r="L342" s="63">
        <f t="shared" ref="L342" si="69">+H342*20*0.25</f>
        <v>1432.8999999999999</v>
      </c>
      <c r="M342" s="61">
        <v>0</v>
      </c>
      <c r="N342" s="62"/>
      <c r="O342" s="61">
        <f t="shared" si="63"/>
        <v>240.78</v>
      </c>
      <c r="P342" s="62"/>
      <c r="Q342" s="64">
        <f t="shared" ref="Q342" si="70">+I342+M342-O342</f>
        <v>8476</v>
      </c>
      <c r="R342" s="104">
        <f t="shared" ref="R342" si="71">+Q342/2</f>
        <v>4238</v>
      </c>
      <c r="S342" s="147"/>
    </row>
    <row r="343" spans="1:19" s="19" customFormat="1" ht="39.9" customHeight="1" x14ac:dyDescent="0.3">
      <c r="A343" s="101"/>
      <c r="B343" s="127" t="s">
        <v>187</v>
      </c>
      <c r="C343" s="101"/>
      <c r="D343" s="101"/>
      <c r="E343" s="127" t="s">
        <v>89</v>
      </c>
      <c r="F343" s="146" t="s">
        <v>17</v>
      </c>
      <c r="G343" s="131">
        <v>45566</v>
      </c>
      <c r="H343" s="61">
        <v>286.58</v>
      </c>
      <c r="I343" s="53">
        <v>8716.7800000000007</v>
      </c>
      <c r="J343" s="62"/>
      <c r="K343" s="63">
        <f t="shared" si="65"/>
        <v>12896.099999999999</v>
      </c>
      <c r="L343" s="63">
        <f t="shared" si="66"/>
        <v>1432.8999999999999</v>
      </c>
      <c r="M343" s="61">
        <v>0</v>
      </c>
      <c r="N343" s="62"/>
      <c r="O343" s="61">
        <f t="shared" si="63"/>
        <v>240.78</v>
      </c>
      <c r="P343" s="62"/>
      <c r="Q343" s="64">
        <f t="shared" si="67"/>
        <v>8476</v>
      </c>
      <c r="R343" s="104">
        <f t="shared" si="62"/>
        <v>4238</v>
      </c>
      <c r="S343" s="147"/>
    </row>
    <row r="344" spans="1:19" s="19" customFormat="1" ht="39.9" customHeight="1" x14ac:dyDescent="0.3">
      <c r="A344" s="101"/>
      <c r="B344" s="127" t="s">
        <v>187</v>
      </c>
      <c r="C344" s="101"/>
      <c r="D344" s="101"/>
      <c r="E344" s="127" t="s">
        <v>68</v>
      </c>
      <c r="F344" s="146" t="s">
        <v>17</v>
      </c>
      <c r="G344" s="131">
        <v>45566</v>
      </c>
      <c r="H344" s="61">
        <v>286.58</v>
      </c>
      <c r="I344" s="53">
        <v>8716.7800000000007</v>
      </c>
      <c r="J344" s="62"/>
      <c r="K344" s="63">
        <f t="shared" si="65"/>
        <v>12896.099999999999</v>
      </c>
      <c r="L344" s="63">
        <f t="shared" si="66"/>
        <v>1432.8999999999999</v>
      </c>
      <c r="M344" s="61">
        <v>0</v>
      </c>
      <c r="N344" s="62"/>
      <c r="O344" s="61">
        <f t="shared" si="63"/>
        <v>240.78</v>
      </c>
      <c r="P344" s="62"/>
      <c r="Q344" s="64">
        <f t="shared" si="67"/>
        <v>8476</v>
      </c>
      <c r="R344" s="104">
        <f t="shared" si="62"/>
        <v>4238</v>
      </c>
      <c r="S344" s="147"/>
    </row>
    <row r="345" spans="1:19" s="19" customFormat="1" ht="39.9" customHeight="1" x14ac:dyDescent="0.3">
      <c r="A345" s="101"/>
      <c r="B345" s="127" t="s">
        <v>187</v>
      </c>
      <c r="C345" s="101"/>
      <c r="D345" s="101"/>
      <c r="E345" s="127" t="s">
        <v>68</v>
      </c>
      <c r="F345" s="146" t="s">
        <v>17</v>
      </c>
      <c r="G345" s="131">
        <v>45566</v>
      </c>
      <c r="H345" s="61">
        <v>286.58</v>
      </c>
      <c r="I345" s="53">
        <v>8716.7800000000007</v>
      </c>
      <c r="J345" s="62"/>
      <c r="K345" s="63">
        <f t="shared" si="65"/>
        <v>12896.099999999999</v>
      </c>
      <c r="L345" s="63">
        <f t="shared" si="66"/>
        <v>1432.8999999999999</v>
      </c>
      <c r="M345" s="61">
        <v>0</v>
      </c>
      <c r="N345" s="62"/>
      <c r="O345" s="61">
        <f t="shared" si="63"/>
        <v>240.78</v>
      </c>
      <c r="P345" s="62"/>
      <c r="Q345" s="64">
        <f t="shared" si="67"/>
        <v>8476</v>
      </c>
      <c r="R345" s="104">
        <f t="shared" si="62"/>
        <v>4238</v>
      </c>
      <c r="S345" s="147"/>
    </row>
    <row r="346" spans="1:19" s="19" customFormat="1" ht="39.9" customHeight="1" x14ac:dyDescent="0.3">
      <c r="A346" s="101"/>
      <c r="B346" s="127" t="s">
        <v>187</v>
      </c>
      <c r="C346" s="101"/>
      <c r="D346" s="101"/>
      <c r="E346" s="127" t="s">
        <v>68</v>
      </c>
      <c r="F346" s="146" t="s">
        <v>17</v>
      </c>
      <c r="G346" s="131">
        <v>45566</v>
      </c>
      <c r="H346" s="61">
        <v>286.58</v>
      </c>
      <c r="I346" s="53">
        <v>8716.7800000000007</v>
      </c>
      <c r="J346" s="62"/>
      <c r="K346" s="63">
        <f t="shared" si="65"/>
        <v>12896.099999999999</v>
      </c>
      <c r="L346" s="63">
        <f t="shared" si="66"/>
        <v>1432.8999999999999</v>
      </c>
      <c r="M346" s="61">
        <v>0</v>
      </c>
      <c r="N346" s="62"/>
      <c r="O346" s="61">
        <f t="shared" si="63"/>
        <v>240.78</v>
      </c>
      <c r="P346" s="62"/>
      <c r="Q346" s="64">
        <f t="shared" si="67"/>
        <v>8476</v>
      </c>
      <c r="R346" s="104">
        <f t="shared" si="62"/>
        <v>4238</v>
      </c>
      <c r="S346" s="147"/>
    </row>
    <row r="347" spans="1:19" s="19" customFormat="1" ht="39.9" customHeight="1" x14ac:dyDescent="0.3">
      <c r="A347" s="101"/>
      <c r="B347" s="127" t="s">
        <v>187</v>
      </c>
      <c r="C347" s="101"/>
      <c r="D347" s="101"/>
      <c r="E347" s="127" t="s">
        <v>68</v>
      </c>
      <c r="F347" s="146" t="s">
        <v>17</v>
      </c>
      <c r="G347" s="131">
        <v>45566</v>
      </c>
      <c r="H347" s="61">
        <v>286.58</v>
      </c>
      <c r="I347" s="53">
        <v>8716.7800000000007</v>
      </c>
      <c r="J347" s="62"/>
      <c r="K347" s="63">
        <f t="shared" si="65"/>
        <v>12896.099999999999</v>
      </c>
      <c r="L347" s="63">
        <f t="shared" si="66"/>
        <v>1432.8999999999999</v>
      </c>
      <c r="M347" s="61">
        <v>0</v>
      </c>
      <c r="N347" s="62"/>
      <c r="O347" s="61">
        <f t="shared" si="63"/>
        <v>240.78</v>
      </c>
      <c r="P347" s="62"/>
      <c r="Q347" s="64">
        <f t="shared" si="67"/>
        <v>8476</v>
      </c>
      <c r="R347" s="104">
        <f t="shared" si="62"/>
        <v>4238</v>
      </c>
      <c r="S347" s="147"/>
    </row>
    <row r="348" spans="1:19" s="19" customFormat="1" ht="39.9" customHeight="1" x14ac:dyDescent="0.3">
      <c r="A348" s="101"/>
      <c r="B348" s="127" t="s">
        <v>187</v>
      </c>
      <c r="C348" s="101"/>
      <c r="D348" s="101"/>
      <c r="E348" s="127" t="s">
        <v>68</v>
      </c>
      <c r="F348" s="146" t="s">
        <v>17</v>
      </c>
      <c r="G348" s="131">
        <v>45566</v>
      </c>
      <c r="H348" s="61">
        <v>286.58</v>
      </c>
      <c r="I348" s="53">
        <v>8716.7800000000007</v>
      </c>
      <c r="J348" s="62"/>
      <c r="K348" s="63">
        <f t="shared" si="60"/>
        <v>12896.099999999999</v>
      </c>
      <c r="L348" s="63">
        <f t="shared" si="61"/>
        <v>1432.8999999999999</v>
      </c>
      <c r="M348" s="61">
        <v>0</v>
      </c>
      <c r="N348" s="62"/>
      <c r="O348" s="61">
        <f t="shared" si="63"/>
        <v>240.78</v>
      </c>
      <c r="P348" s="62"/>
      <c r="Q348" s="64">
        <f t="shared" si="64"/>
        <v>8476</v>
      </c>
      <c r="R348" s="104">
        <f t="shared" si="62"/>
        <v>4238</v>
      </c>
      <c r="S348" s="147"/>
    </row>
    <row r="349" spans="1:19" s="19" customFormat="1" ht="39.9" customHeight="1" thickBot="1" x14ac:dyDescent="0.35">
      <c r="A349" s="189"/>
      <c r="B349" s="56" t="s">
        <v>19</v>
      </c>
      <c r="C349" s="189"/>
      <c r="D349" s="189"/>
      <c r="E349" s="186"/>
      <c r="F349" s="190"/>
      <c r="G349" s="192"/>
      <c r="H349" s="90"/>
      <c r="I349" s="185"/>
      <c r="J349" s="83"/>
      <c r="K349" s="125"/>
      <c r="L349" s="125"/>
      <c r="M349" s="90"/>
      <c r="N349" s="83"/>
      <c r="O349" s="90"/>
      <c r="P349" s="83"/>
      <c r="Q349" s="126"/>
      <c r="R349" s="147"/>
      <c r="S349" s="147"/>
    </row>
    <row r="350" spans="1:19" ht="30" customHeight="1" thickBot="1" x14ac:dyDescent="0.35">
      <c r="A350" s="9"/>
      <c r="B350" s="56" t="s">
        <v>20</v>
      </c>
      <c r="C350" s="56"/>
      <c r="D350" s="56"/>
      <c r="E350" s="56"/>
      <c r="F350" s="243" t="s">
        <v>18</v>
      </c>
      <c r="G350" s="244"/>
      <c r="H350" s="255"/>
      <c r="I350" s="156">
        <f t="shared" ref="I350:R350" si="72">SUM(I319:I348)</f>
        <v>287528.28000000003</v>
      </c>
      <c r="J350" s="156">
        <f t="shared" si="72"/>
        <v>0</v>
      </c>
      <c r="K350" s="156">
        <f t="shared" si="72"/>
        <v>425434.41899999976</v>
      </c>
      <c r="L350" s="156">
        <f t="shared" si="72"/>
        <v>47270.491000000024</v>
      </c>
      <c r="M350" s="156">
        <f t="shared" si="72"/>
        <v>0</v>
      </c>
      <c r="N350" s="156">
        <f t="shared" si="72"/>
        <v>0</v>
      </c>
      <c r="O350" s="156">
        <f t="shared" si="72"/>
        <v>12736.28000000001</v>
      </c>
      <c r="P350" s="156">
        <f t="shared" si="72"/>
        <v>0</v>
      </c>
      <c r="Q350" s="156">
        <f t="shared" si="72"/>
        <v>274792</v>
      </c>
      <c r="R350" s="156">
        <f t="shared" si="72"/>
        <v>137396</v>
      </c>
      <c r="S350" s="159"/>
    </row>
    <row r="351" spans="1:19" ht="30" customHeight="1" thickBot="1" x14ac:dyDescent="0.35">
      <c r="A351" s="9"/>
      <c r="B351" s="56" t="s">
        <v>21</v>
      </c>
      <c r="C351" s="56"/>
      <c r="D351" s="56"/>
      <c r="E351" s="56"/>
      <c r="F351" s="233" t="s">
        <v>484</v>
      </c>
      <c r="G351" s="234"/>
      <c r="H351" s="234"/>
      <c r="I351" s="195">
        <f>+I350*12</f>
        <v>3450339.3600000003</v>
      </c>
      <c r="J351" s="193">
        <f t="shared" ref="J351:R351" si="73">+J350*12</f>
        <v>0</v>
      </c>
      <c r="K351" s="195">
        <f>+K350</f>
        <v>425434.41899999976</v>
      </c>
      <c r="L351" s="193">
        <f>+L350</f>
        <v>47270.491000000024</v>
      </c>
      <c r="M351" s="195">
        <f t="shared" si="73"/>
        <v>0</v>
      </c>
      <c r="N351" s="193">
        <f t="shared" si="73"/>
        <v>0</v>
      </c>
      <c r="O351" s="195">
        <f t="shared" si="73"/>
        <v>152835.3600000001</v>
      </c>
      <c r="P351" s="193">
        <f t="shared" si="73"/>
        <v>0</v>
      </c>
      <c r="Q351" s="195">
        <f t="shared" si="73"/>
        <v>3297504</v>
      </c>
      <c r="R351" s="195">
        <f t="shared" si="73"/>
        <v>1648752</v>
      </c>
      <c r="S351" s="191"/>
    </row>
    <row r="352" spans="1:19" ht="30" customHeight="1" x14ac:dyDescent="0.3">
      <c r="A352" s="9"/>
      <c r="B352" s="56" t="s">
        <v>22</v>
      </c>
      <c r="C352" s="56"/>
      <c r="D352" s="56"/>
      <c r="E352" s="56"/>
      <c r="F352" s="59"/>
      <c r="G352" s="10"/>
      <c r="H352" s="59"/>
      <c r="I352" s="60"/>
      <c r="J352" s="60"/>
      <c r="K352" s="29"/>
      <c r="L352" s="60"/>
      <c r="M352" s="60"/>
      <c r="N352" s="60"/>
      <c r="O352" s="60"/>
      <c r="P352" s="60"/>
      <c r="Q352" s="60"/>
      <c r="R352" s="153"/>
      <c r="S352" s="38"/>
    </row>
    <row r="353" spans="1:19" ht="30" customHeight="1" x14ac:dyDescent="0.3">
      <c r="A353" s="9"/>
      <c r="B353" s="56" t="s">
        <v>23</v>
      </c>
      <c r="C353" s="56"/>
      <c r="D353" s="56"/>
      <c r="E353" s="56"/>
      <c r="F353" s="59"/>
      <c r="G353" s="10"/>
      <c r="H353" s="59"/>
      <c r="I353" s="60"/>
      <c r="J353" s="60"/>
      <c r="K353" s="29"/>
      <c r="L353" s="60"/>
      <c r="M353" s="60"/>
      <c r="N353" s="60"/>
      <c r="O353" s="60"/>
      <c r="P353" s="60"/>
      <c r="Q353" s="60"/>
      <c r="R353" s="153"/>
      <c r="S353" s="38"/>
    </row>
    <row r="354" spans="1:19" ht="30" customHeight="1" x14ac:dyDescent="0.3">
      <c r="A354" s="9"/>
      <c r="B354" s="56"/>
      <c r="C354" s="56"/>
      <c r="D354" s="56"/>
      <c r="E354" s="56"/>
      <c r="F354" s="59"/>
      <c r="G354" s="10"/>
      <c r="H354" s="59"/>
      <c r="I354" s="60"/>
      <c r="J354" s="60"/>
      <c r="K354" s="29"/>
      <c r="L354" s="60"/>
      <c r="M354" s="60"/>
      <c r="N354" s="60"/>
      <c r="O354" s="60"/>
      <c r="P354" s="60"/>
      <c r="Q354" s="60"/>
      <c r="R354" s="153"/>
      <c r="S354" s="38"/>
    </row>
    <row r="355" spans="1:19" s="18" customFormat="1" ht="30" customHeight="1" x14ac:dyDescent="0.3">
      <c r="A355" s="256" t="s">
        <v>32</v>
      </c>
      <c r="B355" s="256"/>
      <c r="C355" s="256"/>
      <c r="D355" s="256"/>
      <c r="E355" s="256"/>
      <c r="F355" s="256"/>
      <c r="G355" s="256"/>
      <c r="H355" s="256"/>
      <c r="I355" s="256"/>
      <c r="J355" s="256"/>
      <c r="K355" s="256"/>
      <c r="L355" s="256"/>
      <c r="M355" s="256"/>
      <c r="N355" s="256"/>
      <c r="O355" s="256"/>
      <c r="P355" s="256"/>
      <c r="Q355" s="256"/>
      <c r="R355" s="153"/>
      <c r="S355" s="38"/>
    </row>
    <row r="356" spans="1:19" s="18" customFormat="1" ht="30" customHeight="1" x14ac:dyDescent="0.3">
      <c r="A356" s="235" t="s">
        <v>0</v>
      </c>
      <c r="B356" s="235"/>
      <c r="C356" s="235"/>
      <c r="D356" s="235"/>
      <c r="E356" s="235"/>
      <c r="F356" s="235"/>
      <c r="G356" s="235"/>
      <c r="H356" s="235"/>
      <c r="I356" s="235"/>
      <c r="J356" s="235"/>
      <c r="K356" s="235"/>
      <c r="L356" s="235"/>
      <c r="M356" s="235"/>
      <c r="N356" s="235"/>
      <c r="O356" s="235"/>
      <c r="P356" s="235"/>
      <c r="Q356" s="235"/>
      <c r="R356" s="153"/>
      <c r="S356" s="38"/>
    </row>
    <row r="357" spans="1:19" ht="30" customHeight="1" thickBot="1" x14ac:dyDescent="0.35">
      <c r="A357" s="235" t="s">
        <v>210</v>
      </c>
      <c r="B357" s="235"/>
      <c r="C357" s="235"/>
      <c r="D357" s="235"/>
      <c r="E357" s="235"/>
      <c r="F357" s="235"/>
      <c r="G357" s="235"/>
      <c r="H357" s="235"/>
      <c r="I357" s="235"/>
      <c r="J357" s="235"/>
      <c r="K357" s="235"/>
      <c r="L357" s="235"/>
      <c r="M357" s="235"/>
      <c r="N357" s="235"/>
      <c r="O357" s="235"/>
      <c r="P357" s="235"/>
      <c r="Q357" s="235"/>
      <c r="R357" s="153"/>
      <c r="S357" s="38"/>
    </row>
    <row r="358" spans="1:19" s="4" customFormat="1" ht="24.9" customHeight="1" x14ac:dyDescent="0.3">
      <c r="A358" s="115"/>
      <c r="B358" s="267" t="s">
        <v>491</v>
      </c>
      <c r="C358" s="264"/>
      <c r="D358" s="264"/>
      <c r="E358" s="264"/>
      <c r="F358" s="264"/>
      <c r="G358" s="264"/>
      <c r="H358" s="264"/>
      <c r="I358" s="264"/>
      <c r="J358" s="264"/>
      <c r="K358" s="264"/>
      <c r="L358" s="264"/>
      <c r="M358" s="264"/>
      <c r="N358" s="264"/>
      <c r="O358" s="264"/>
      <c r="P358" s="264"/>
      <c r="Q358" s="264"/>
      <c r="R358" s="268"/>
      <c r="S358" s="162"/>
    </row>
    <row r="359" spans="1:19" s="19" customFormat="1" ht="24.9" customHeight="1" thickBot="1" x14ac:dyDescent="0.35">
      <c r="A359" s="116"/>
      <c r="B359" s="269"/>
      <c r="C359" s="265"/>
      <c r="D359" s="265"/>
      <c r="E359" s="265"/>
      <c r="F359" s="265"/>
      <c r="G359" s="265"/>
      <c r="H359" s="265"/>
      <c r="I359" s="265"/>
      <c r="J359" s="265"/>
      <c r="K359" s="265"/>
      <c r="L359" s="265"/>
      <c r="M359" s="265"/>
      <c r="N359" s="265"/>
      <c r="O359" s="265"/>
      <c r="P359" s="265"/>
      <c r="Q359" s="265"/>
      <c r="R359" s="270"/>
      <c r="S359" s="162"/>
    </row>
    <row r="360" spans="1:19" s="7" customFormat="1" ht="27.9" customHeight="1" x14ac:dyDescent="0.3">
      <c r="A360" s="236"/>
      <c r="B360" s="258" t="s">
        <v>2</v>
      </c>
      <c r="C360" s="245" t="s">
        <v>188</v>
      </c>
      <c r="D360" s="245" t="s">
        <v>189</v>
      </c>
      <c r="E360" s="258" t="s">
        <v>3</v>
      </c>
      <c r="F360" s="261" t="s">
        <v>4</v>
      </c>
      <c r="G360" s="263" t="s">
        <v>5</v>
      </c>
      <c r="H360" s="261" t="s">
        <v>6</v>
      </c>
      <c r="I360" s="261" t="s">
        <v>7</v>
      </c>
      <c r="J360" s="261" t="s">
        <v>8</v>
      </c>
      <c r="K360" s="261" t="s">
        <v>9</v>
      </c>
      <c r="L360" s="261" t="s">
        <v>10</v>
      </c>
      <c r="M360" s="261" t="s">
        <v>11</v>
      </c>
      <c r="N360" s="261" t="s">
        <v>12</v>
      </c>
      <c r="O360" s="261" t="s">
        <v>13</v>
      </c>
      <c r="P360" s="261" t="s">
        <v>14</v>
      </c>
      <c r="Q360" s="266" t="s">
        <v>15</v>
      </c>
      <c r="R360" s="300" t="s">
        <v>149</v>
      </c>
      <c r="S360" s="162"/>
    </row>
    <row r="361" spans="1:19" s="7" customFormat="1" ht="33" customHeight="1" thickBot="1" x14ac:dyDescent="0.35">
      <c r="A361" s="257"/>
      <c r="B361" s="259"/>
      <c r="C361" s="246"/>
      <c r="D361" s="246"/>
      <c r="E361" s="260"/>
      <c r="F361" s="262"/>
      <c r="G361" s="251"/>
      <c r="H361" s="262"/>
      <c r="I361" s="262"/>
      <c r="J361" s="239"/>
      <c r="K361" s="239"/>
      <c r="L361" s="239"/>
      <c r="M361" s="239"/>
      <c r="N361" s="240"/>
      <c r="O361" s="240"/>
      <c r="P361" s="239"/>
      <c r="Q361" s="242"/>
      <c r="R361" s="301"/>
      <c r="S361" s="162"/>
    </row>
    <row r="362" spans="1:19" s="21" customFormat="1" ht="39.6" customHeight="1" x14ac:dyDescent="0.3">
      <c r="A362" s="101">
        <v>133</v>
      </c>
      <c r="B362" s="127" t="s">
        <v>99</v>
      </c>
      <c r="C362" s="101" t="s">
        <v>378</v>
      </c>
      <c r="D362" s="101" t="s">
        <v>379</v>
      </c>
      <c r="E362" s="127" t="s">
        <v>79</v>
      </c>
      <c r="F362" s="146" t="s">
        <v>17</v>
      </c>
      <c r="G362" s="131">
        <v>45536</v>
      </c>
      <c r="H362" s="61">
        <v>286.58</v>
      </c>
      <c r="I362" s="53">
        <v>8716.7800000000007</v>
      </c>
      <c r="J362" s="62"/>
      <c r="K362" s="63">
        <f t="shared" ref="K362:K370" si="74">+H362*45</f>
        <v>12896.099999999999</v>
      </c>
      <c r="L362" s="63">
        <f t="shared" ref="L362:L370" si="75">+H362*20*0.25</f>
        <v>1432.8999999999999</v>
      </c>
      <c r="M362" s="61">
        <v>0</v>
      </c>
      <c r="N362" s="62"/>
      <c r="O362" s="61">
        <f t="shared" ref="O362:O373" si="76">120.39*2</f>
        <v>240.78</v>
      </c>
      <c r="P362" s="62"/>
      <c r="Q362" s="64">
        <f t="shared" ref="Q362:Q370" si="77">+I362+M362-O362</f>
        <v>8476</v>
      </c>
      <c r="R362" s="104">
        <f t="shared" ref="R362:R370" si="78">+Q362/2</f>
        <v>4238</v>
      </c>
      <c r="S362" s="147"/>
    </row>
    <row r="363" spans="1:19" s="21" customFormat="1" ht="39.9" customHeight="1" x14ac:dyDescent="0.3">
      <c r="A363" s="101">
        <v>134</v>
      </c>
      <c r="B363" s="127" t="s">
        <v>380</v>
      </c>
      <c r="C363" s="101" t="s">
        <v>381</v>
      </c>
      <c r="D363" s="101" t="s">
        <v>382</v>
      </c>
      <c r="E363" s="127" t="s">
        <v>401</v>
      </c>
      <c r="F363" s="146" t="s">
        <v>17</v>
      </c>
      <c r="G363" s="131">
        <v>45536</v>
      </c>
      <c r="H363" s="61">
        <v>286.58</v>
      </c>
      <c r="I363" s="53">
        <v>8716.7800000000007</v>
      </c>
      <c r="J363" s="62"/>
      <c r="K363" s="63">
        <f t="shared" si="74"/>
        <v>12896.099999999999</v>
      </c>
      <c r="L363" s="63">
        <f t="shared" si="75"/>
        <v>1432.8999999999999</v>
      </c>
      <c r="M363" s="61">
        <v>0</v>
      </c>
      <c r="N363" s="62"/>
      <c r="O363" s="61">
        <f t="shared" si="76"/>
        <v>240.78</v>
      </c>
      <c r="P363" s="62"/>
      <c r="Q363" s="64">
        <f t="shared" si="77"/>
        <v>8476</v>
      </c>
      <c r="R363" s="104">
        <f t="shared" si="78"/>
        <v>4238</v>
      </c>
      <c r="S363" s="147"/>
    </row>
    <row r="364" spans="1:19" s="21" customFormat="1" ht="39.9" customHeight="1" x14ac:dyDescent="0.3">
      <c r="A364" s="101">
        <v>135</v>
      </c>
      <c r="B364" s="127" t="s">
        <v>98</v>
      </c>
      <c r="C364" s="101" t="s">
        <v>383</v>
      </c>
      <c r="D364" s="101" t="s">
        <v>384</v>
      </c>
      <c r="E364" s="127" t="s">
        <v>163</v>
      </c>
      <c r="F364" s="146" t="s">
        <v>16</v>
      </c>
      <c r="G364" s="131">
        <v>45536</v>
      </c>
      <c r="H364" s="51">
        <v>435.42160000000001</v>
      </c>
      <c r="I364" s="63">
        <f>6618*2</f>
        <v>13236</v>
      </c>
      <c r="J364" s="52"/>
      <c r="K364" s="63">
        <f t="shared" si="74"/>
        <v>19593.972000000002</v>
      </c>
      <c r="L364" s="63">
        <f t="shared" si="75"/>
        <v>2177.1080000000002</v>
      </c>
      <c r="M364" s="53">
        <v>0</v>
      </c>
      <c r="N364" s="52"/>
      <c r="O364" s="51">
        <f>618*2</f>
        <v>1236</v>
      </c>
      <c r="P364" s="52"/>
      <c r="Q364" s="55">
        <f>+I364-O364</f>
        <v>12000</v>
      </c>
      <c r="R364" s="104">
        <f t="shared" si="78"/>
        <v>6000</v>
      </c>
      <c r="S364" s="147"/>
    </row>
    <row r="365" spans="1:19" s="21" customFormat="1" ht="39.9" customHeight="1" x14ac:dyDescent="0.3">
      <c r="A365" s="101">
        <v>136</v>
      </c>
      <c r="B365" s="127" t="s">
        <v>101</v>
      </c>
      <c r="C365" s="101" t="s">
        <v>385</v>
      </c>
      <c r="D365" s="101" t="s">
        <v>386</v>
      </c>
      <c r="E365" s="127" t="s">
        <v>79</v>
      </c>
      <c r="F365" s="146" t="s">
        <v>17</v>
      </c>
      <c r="G365" s="131">
        <v>45536</v>
      </c>
      <c r="H365" s="61">
        <v>286.58</v>
      </c>
      <c r="I365" s="53">
        <v>8716.7800000000007</v>
      </c>
      <c r="J365" s="62"/>
      <c r="K365" s="63">
        <f t="shared" si="74"/>
        <v>12896.099999999999</v>
      </c>
      <c r="L365" s="63">
        <f t="shared" si="75"/>
        <v>1432.8999999999999</v>
      </c>
      <c r="M365" s="61">
        <v>0</v>
      </c>
      <c r="N365" s="62"/>
      <c r="O365" s="61">
        <f t="shared" si="76"/>
        <v>240.78</v>
      </c>
      <c r="P365" s="62"/>
      <c r="Q365" s="64">
        <f t="shared" si="77"/>
        <v>8476</v>
      </c>
      <c r="R365" s="104">
        <f t="shared" si="78"/>
        <v>4238</v>
      </c>
      <c r="S365" s="147"/>
    </row>
    <row r="366" spans="1:19" s="21" customFormat="1" ht="39.9" customHeight="1" x14ac:dyDescent="0.3">
      <c r="A366" s="101">
        <v>137</v>
      </c>
      <c r="B366" s="127" t="s">
        <v>100</v>
      </c>
      <c r="C366" s="101" t="s">
        <v>387</v>
      </c>
      <c r="D366" s="101" t="s">
        <v>388</v>
      </c>
      <c r="E366" s="127" t="s">
        <v>79</v>
      </c>
      <c r="F366" s="146" t="s">
        <v>17</v>
      </c>
      <c r="G366" s="131">
        <v>45536</v>
      </c>
      <c r="H366" s="61">
        <v>286.58</v>
      </c>
      <c r="I366" s="53">
        <v>8716.7800000000007</v>
      </c>
      <c r="J366" s="62"/>
      <c r="K366" s="63">
        <f t="shared" si="74"/>
        <v>12896.099999999999</v>
      </c>
      <c r="L366" s="63">
        <f t="shared" si="75"/>
        <v>1432.8999999999999</v>
      </c>
      <c r="M366" s="61">
        <v>0</v>
      </c>
      <c r="N366" s="62"/>
      <c r="O366" s="61">
        <f t="shared" si="76"/>
        <v>240.78</v>
      </c>
      <c r="P366" s="62"/>
      <c r="Q366" s="64">
        <f t="shared" si="77"/>
        <v>8476</v>
      </c>
      <c r="R366" s="104">
        <f t="shared" si="78"/>
        <v>4238</v>
      </c>
      <c r="S366" s="147"/>
    </row>
    <row r="367" spans="1:19" s="21" customFormat="1" ht="39.9" customHeight="1" x14ac:dyDescent="0.3">
      <c r="A367" s="101">
        <v>138</v>
      </c>
      <c r="B367" s="127" t="s">
        <v>169</v>
      </c>
      <c r="C367" s="101" t="s">
        <v>389</v>
      </c>
      <c r="D367" s="101" t="s">
        <v>390</v>
      </c>
      <c r="E367" s="127" t="s">
        <v>79</v>
      </c>
      <c r="F367" s="146" t="s">
        <v>17</v>
      </c>
      <c r="G367" s="131">
        <v>45536</v>
      </c>
      <c r="H367" s="61">
        <v>286.58</v>
      </c>
      <c r="I367" s="53">
        <v>8716.7800000000007</v>
      </c>
      <c r="J367" s="62"/>
      <c r="K367" s="63">
        <f t="shared" si="74"/>
        <v>12896.099999999999</v>
      </c>
      <c r="L367" s="63">
        <f t="shared" si="75"/>
        <v>1432.8999999999999</v>
      </c>
      <c r="M367" s="61">
        <v>0</v>
      </c>
      <c r="N367" s="62"/>
      <c r="O367" s="61">
        <f t="shared" si="76"/>
        <v>240.78</v>
      </c>
      <c r="P367" s="62"/>
      <c r="Q367" s="64">
        <f t="shared" si="77"/>
        <v>8476</v>
      </c>
      <c r="R367" s="104">
        <f t="shared" si="78"/>
        <v>4238</v>
      </c>
      <c r="S367" s="147"/>
    </row>
    <row r="368" spans="1:19" s="21" customFormat="1" ht="39.9" customHeight="1" x14ac:dyDescent="0.3">
      <c r="A368" s="101">
        <v>139</v>
      </c>
      <c r="B368" s="127" t="s">
        <v>174</v>
      </c>
      <c r="C368" s="101" t="s">
        <v>391</v>
      </c>
      <c r="D368" s="101" t="s">
        <v>392</v>
      </c>
      <c r="E368" s="127" t="s">
        <v>79</v>
      </c>
      <c r="F368" s="146" t="s">
        <v>17</v>
      </c>
      <c r="G368" s="131">
        <v>45551</v>
      </c>
      <c r="H368" s="61">
        <v>286.58</v>
      </c>
      <c r="I368" s="53">
        <v>8716.7800000000007</v>
      </c>
      <c r="J368" s="62"/>
      <c r="K368" s="63">
        <f t="shared" si="74"/>
        <v>12896.099999999999</v>
      </c>
      <c r="L368" s="63">
        <f t="shared" si="75"/>
        <v>1432.8999999999999</v>
      </c>
      <c r="M368" s="61">
        <v>0</v>
      </c>
      <c r="N368" s="62"/>
      <c r="O368" s="61">
        <f t="shared" si="76"/>
        <v>240.78</v>
      </c>
      <c r="P368" s="62"/>
      <c r="Q368" s="64">
        <f t="shared" si="77"/>
        <v>8476</v>
      </c>
      <c r="R368" s="104">
        <f t="shared" si="78"/>
        <v>4238</v>
      </c>
      <c r="S368" s="147"/>
    </row>
    <row r="369" spans="1:19" s="21" customFormat="1" ht="39.9" customHeight="1" x14ac:dyDescent="0.3">
      <c r="A369" s="101">
        <v>140</v>
      </c>
      <c r="B369" s="127" t="s">
        <v>170</v>
      </c>
      <c r="C369" s="101" t="s">
        <v>393</v>
      </c>
      <c r="D369" s="101" t="s">
        <v>394</v>
      </c>
      <c r="E369" s="127" t="s">
        <v>79</v>
      </c>
      <c r="F369" s="146" t="s">
        <v>17</v>
      </c>
      <c r="G369" s="131">
        <v>45551</v>
      </c>
      <c r="H369" s="61">
        <v>286.58</v>
      </c>
      <c r="I369" s="53">
        <v>8716.7800000000007</v>
      </c>
      <c r="J369" s="62"/>
      <c r="K369" s="63">
        <f t="shared" si="74"/>
        <v>12896.099999999999</v>
      </c>
      <c r="L369" s="63">
        <f t="shared" si="75"/>
        <v>1432.8999999999999</v>
      </c>
      <c r="M369" s="61">
        <v>0</v>
      </c>
      <c r="N369" s="62"/>
      <c r="O369" s="61">
        <f t="shared" si="76"/>
        <v>240.78</v>
      </c>
      <c r="P369" s="62"/>
      <c r="Q369" s="64">
        <f t="shared" si="77"/>
        <v>8476</v>
      </c>
      <c r="R369" s="104">
        <f t="shared" si="78"/>
        <v>4238</v>
      </c>
      <c r="S369" s="147"/>
    </row>
    <row r="370" spans="1:19" s="21" customFormat="1" ht="39.9" customHeight="1" x14ac:dyDescent="0.3">
      <c r="A370" s="101">
        <v>142</v>
      </c>
      <c r="B370" s="127" t="s">
        <v>395</v>
      </c>
      <c r="C370" s="101" t="s">
        <v>396</v>
      </c>
      <c r="D370" s="101" t="s">
        <v>397</v>
      </c>
      <c r="E370" s="127" t="s">
        <v>79</v>
      </c>
      <c r="F370" s="146" t="s">
        <v>17</v>
      </c>
      <c r="G370" s="131">
        <v>45566</v>
      </c>
      <c r="H370" s="61">
        <v>286.58</v>
      </c>
      <c r="I370" s="53">
        <v>8716.7800000000007</v>
      </c>
      <c r="J370" s="62"/>
      <c r="K370" s="63">
        <f t="shared" si="74"/>
        <v>12896.099999999999</v>
      </c>
      <c r="L370" s="63">
        <f t="shared" si="75"/>
        <v>1432.8999999999999</v>
      </c>
      <c r="M370" s="61">
        <v>0</v>
      </c>
      <c r="N370" s="62"/>
      <c r="O370" s="61">
        <f t="shared" si="76"/>
        <v>240.78</v>
      </c>
      <c r="P370" s="62"/>
      <c r="Q370" s="64">
        <f t="shared" si="77"/>
        <v>8476</v>
      </c>
      <c r="R370" s="104">
        <f t="shared" si="78"/>
        <v>4238</v>
      </c>
      <c r="S370" s="147"/>
    </row>
    <row r="371" spans="1:19" s="21" customFormat="1" ht="39.9" customHeight="1" x14ac:dyDescent="0.3">
      <c r="A371" s="101">
        <v>145</v>
      </c>
      <c r="B371" s="127" t="s">
        <v>398</v>
      </c>
      <c r="C371" s="101" t="s">
        <v>399</v>
      </c>
      <c r="D371" s="101" t="s">
        <v>400</v>
      </c>
      <c r="E371" s="127" t="s">
        <v>79</v>
      </c>
      <c r="F371" s="146" t="s">
        <v>17</v>
      </c>
      <c r="G371" s="131">
        <v>45581</v>
      </c>
      <c r="H371" s="61">
        <v>286.58</v>
      </c>
      <c r="I371" s="53">
        <v>8716.7800000000007</v>
      </c>
      <c r="J371" s="62"/>
      <c r="K371" s="63">
        <f>+H371*45</f>
        <v>12896.099999999999</v>
      </c>
      <c r="L371" s="63">
        <f>+H371*20*0.25</f>
        <v>1432.8999999999999</v>
      </c>
      <c r="M371" s="61">
        <v>0</v>
      </c>
      <c r="N371" s="62"/>
      <c r="O371" s="61">
        <f t="shared" si="76"/>
        <v>240.78</v>
      </c>
      <c r="P371" s="62"/>
      <c r="Q371" s="64">
        <f>+I371+M371-O371</f>
        <v>8476</v>
      </c>
      <c r="R371" s="104">
        <f>+Q371/2</f>
        <v>4238</v>
      </c>
      <c r="S371" s="147"/>
    </row>
    <row r="372" spans="1:19" s="21" customFormat="1" ht="39.9" customHeight="1" x14ac:dyDescent="0.3">
      <c r="A372" s="101"/>
      <c r="B372" s="127" t="s">
        <v>187</v>
      </c>
      <c r="C372" s="101"/>
      <c r="D372" s="101"/>
      <c r="E372" s="127" t="s">
        <v>79</v>
      </c>
      <c r="F372" s="146" t="s">
        <v>17</v>
      </c>
      <c r="G372" s="131"/>
      <c r="H372" s="61">
        <v>286.58</v>
      </c>
      <c r="I372" s="53">
        <v>8716.7800000000007</v>
      </c>
      <c r="J372" s="62"/>
      <c r="K372" s="63">
        <f>+H372*45</f>
        <v>12896.099999999999</v>
      </c>
      <c r="L372" s="63">
        <f>+H372*20*0.25</f>
        <v>1432.8999999999999</v>
      </c>
      <c r="M372" s="61">
        <v>0</v>
      </c>
      <c r="N372" s="62"/>
      <c r="O372" s="61">
        <f t="shared" si="76"/>
        <v>240.78</v>
      </c>
      <c r="P372" s="62"/>
      <c r="Q372" s="64">
        <f>+I372+M372-O372</f>
        <v>8476</v>
      </c>
      <c r="R372" s="104">
        <f>+Q372/2</f>
        <v>4238</v>
      </c>
      <c r="S372" s="147"/>
    </row>
    <row r="373" spans="1:19" s="21" customFormat="1" ht="39.9" customHeight="1" x14ac:dyDescent="0.3">
      <c r="A373" s="101"/>
      <c r="B373" s="127" t="s">
        <v>187</v>
      </c>
      <c r="C373" s="101"/>
      <c r="D373" s="101"/>
      <c r="E373" s="127" t="s">
        <v>79</v>
      </c>
      <c r="F373" s="146" t="s">
        <v>17</v>
      </c>
      <c r="G373" s="131"/>
      <c r="H373" s="61">
        <v>286.58</v>
      </c>
      <c r="I373" s="53">
        <v>8716.7800000000007</v>
      </c>
      <c r="J373" s="62"/>
      <c r="K373" s="63">
        <f>+H373*45</f>
        <v>12896.099999999999</v>
      </c>
      <c r="L373" s="63">
        <f>+H373*20*0.25</f>
        <v>1432.8999999999999</v>
      </c>
      <c r="M373" s="61">
        <v>0</v>
      </c>
      <c r="N373" s="62"/>
      <c r="O373" s="61">
        <f t="shared" si="76"/>
        <v>240.78</v>
      </c>
      <c r="P373" s="62"/>
      <c r="Q373" s="64">
        <f>+I373+M373-O373</f>
        <v>8476</v>
      </c>
      <c r="R373" s="104">
        <f>+Q373/2</f>
        <v>4238</v>
      </c>
      <c r="S373" s="147"/>
    </row>
    <row r="374" spans="1:19" s="19" customFormat="1" ht="30" customHeight="1" thickBot="1" x14ac:dyDescent="0.35">
      <c r="A374" s="21"/>
      <c r="B374" s="56" t="s">
        <v>19</v>
      </c>
      <c r="C374" s="56"/>
      <c r="D374" s="56"/>
      <c r="E374" s="85"/>
      <c r="G374" s="21"/>
      <c r="H374" s="91"/>
      <c r="I374" s="91"/>
      <c r="J374" s="91"/>
      <c r="K374" s="91"/>
      <c r="L374" s="91"/>
      <c r="M374" s="98"/>
      <c r="N374" s="99"/>
      <c r="O374" s="98"/>
      <c r="P374" s="99"/>
      <c r="Q374" s="99"/>
      <c r="R374" s="153"/>
      <c r="S374" s="38"/>
    </row>
    <row r="375" spans="1:19" s="19" customFormat="1" ht="30" customHeight="1" thickBot="1" x14ac:dyDescent="0.35">
      <c r="A375" s="21"/>
      <c r="B375" s="56" t="s">
        <v>20</v>
      </c>
      <c r="C375" s="56"/>
      <c r="D375" s="56"/>
      <c r="E375" s="85"/>
      <c r="F375" s="243" t="s">
        <v>18</v>
      </c>
      <c r="G375" s="244"/>
      <c r="H375" s="244"/>
      <c r="I375" s="17">
        <f>SUM(I362:I374)</f>
        <v>109120.58</v>
      </c>
      <c r="J375" s="17">
        <f t="shared" ref="J375:R375" si="79">SUM(J362:J373)</f>
        <v>0</v>
      </c>
      <c r="K375" s="17">
        <f t="shared" si="79"/>
        <v>161451.07200000004</v>
      </c>
      <c r="L375" s="17">
        <f t="shared" si="79"/>
        <v>17939.007999999998</v>
      </c>
      <c r="M375" s="17">
        <f t="shared" si="79"/>
        <v>0</v>
      </c>
      <c r="N375" s="17">
        <f t="shared" si="79"/>
        <v>0</v>
      </c>
      <c r="O375" s="17">
        <f t="shared" si="79"/>
        <v>3884.5800000000013</v>
      </c>
      <c r="P375" s="17">
        <f t="shared" si="79"/>
        <v>0</v>
      </c>
      <c r="Q375" s="34">
        <f t="shared" si="79"/>
        <v>105236</v>
      </c>
      <c r="R375" s="100">
        <f t="shared" si="79"/>
        <v>52618</v>
      </c>
      <c r="S375" s="164"/>
    </row>
    <row r="376" spans="1:19" ht="30" customHeight="1" thickBot="1" x14ac:dyDescent="0.35">
      <c r="A376" s="9"/>
      <c r="B376" s="56" t="s">
        <v>21</v>
      </c>
      <c r="C376" s="56"/>
      <c r="D376" s="56"/>
      <c r="E376" s="56"/>
      <c r="F376" s="233"/>
      <c r="G376" s="234"/>
      <c r="H376" s="252"/>
      <c r="I376" s="193">
        <f>+I375*12</f>
        <v>1309446.96</v>
      </c>
      <c r="J376" s="195">
        <f t="shared" ref="J376:R376" si="80">+J375*12</f>
        <v>0</v>
      </c>
      <c r="K376" s="193">
        <f>+K375</f>
        <v>161451.07200000004</v>
      </c>
      <c r="L376" s="195">
        <f>+L375</f>
        <v>17939.007999999998</v>
      </c>
      <c r="M376" s="193">
        <f t="shared" si="80"/>
        <v>0</v>
      </c>
      <c r="N376" s="195">
        <f t="shared" si="80"/>
        <v>0</v>
      </c>
      <c r="O376" s="193">
        <f t="shared" si="80"/>
        <v>46614.960000000014</v>
      </c>
      <c r="P376" s="195">
        <f t="shared" si="80"/>
        <v>0</v>
      </c>
      <c r="Q376" s="193">
        <f t="shared" si="80"/>
        <v>1262832</v>
      </c>
      <c r="R376" s="195">
        <f t="shared" si="80"/>
        <v>631416</v>
      </c>
      <c r="S376" s="60"/>
    </row>
    <row r="377" spans="1:19" ht="30" customHeight="1" x14ac:dyDescent="0.3">
      <c r="A377" s="9"/>
      <c r="B377" s="41" t="s">
        <v>22</v>
      </c>
      <c r="C377" s="41"/>
      <c r="D377" s="41"/>
      <c r="E377" s="23"/>
      <c r="F377" s="10"/>
      <c r="G377" s="10"/>
      <c r="H377" s="10"/>
      <c r="I377" s="11"/>
      <c r="J377" s="11"/>
      <c r="K377" s="11"/>
      <c r="L377" s="11"/>
      <c r="M377" s="11"/>
      <c r="N377" s="11"/>
      <c r="O377" s="11"/>
      <c r="P377" s="11"/>
      <c r="Q377" s="11"/>
      <c r="R377" s="157"/>
      <c r="S377" s="169"/>
    </row>
    <row r="378" spans="1:19" ht="30" customHeight="1" x14ac:dyDescent="0.3">
      <c r="A378" s="9"/>
      <c r="B378" s="41" t="s">
        <v>23</v>
      </c>
      <c r="C378" s="41"/>
      <c r="D378" s="41"/>
      <c r="E378" s="23"/>
      <c r="F378" s="10"/>
      <c r="G378" s="10"/>
      <c r="H378" s="10"/>
      <c r="I378" s="11"/>
      <c r="J378" s="11"/>
      <c r="K378" s="11"/>
      <c r="L378" s="11"/>
      <c r="M378" s="11"/>
      <c r="N378" s="11"/>
      <c r="O378" s="11"/>
      <c r="P378" s="11"/>
      <c r="Q378" s="11"/>
      <c r="R378" s="157"/>
      <c r="S378" s="169"/>
    </row>
    <row r="379" spans="1:19" ht="18" customHeight="1" x14ac:dyDescent="0.3">
      <c r="A379" s="9"/>
      <c r="B379" s="42"/>
      <c r="C379" s="42"/>
      <c r="D379" s="42"/>
      <c r="E379" s="23"/>
      <c r="F379" s="10"/>
      <c r="G379" s="10"/>
      <c r="H379" s="10"/>
      <c r="I379" s="11"/>
      <c r="J379" s="11"/>
      <c r="K379" s="11"/>
      <c r="L379" s="11"/>
      <c r="M379" s="11"/>
      <c r="N379" s="11"/>
      <c r="O379" s="11"/>
      <c r="P379" s="11"/>
      <c r="Q379" s="11"/>
    </row>
    <row r="380" spans="1:19" ht="18" customHeight="1" x14ac:dyDescent="0.3">
      <c r="A380" s="9"/>
      <c r="B380" s="42"/>
      <c r="C380" s="42"/>
      <c r="D380" s="42"/>
      <c r="E380" s="23"/>
      <c r="F380" s="10"/>
      <c r="G380" s="10"/>
      <c r="H380" s="10"/>
      <c r="I380" s="11"/>
      <c r="J380" s="11"/>
      <c r="K380" s="11"/>
      <c r="L380" s="11"/>
      <c r="M380" s="11"/>
      <c r="N380" s="11"/>
      <c r="O380" s="11"/>
      <c r="P380" s="11"/>
      <c r="Q380" s="11"/>
    </row>
    <row r="381" spans="1:19" ht="18" customHeight="1" x14ac:dyDescent="0.3">
      <c r="A381" s="9"/>
      <c r="B381" s="42"/>
      <c r="C381" s="42"/>
      <c r="D381" s="42"/>
      <c r="E381" s="23"/>
      <c r="F381" s="10"/>
      <c r="G381" s="10"/>
      <c r="H381" s="10"/>
      <c r="I381" s="11"/>
      <c r="J381" s="11"/>
      <c r="K381" s="11"/>
      <c r="L381" s="11"/>
      <c r="M381" s="11"/>
      <c r="N381" s="11"/>
      <c r="O381" s="11"/>
      <c r="P381" s="11"/>
      <c r="Q381" s="11"/>
    </row>
    <row r="382" spans="1:19" ht="18" customHeight="1" x14ac:dyDescent="0.3">
      <c r="A382" s="9"/>
      <c r="B382" s="42"/>
      <c r="C382" s="42"/>
      <c r="D382" s="42"/>
      <c r="E382" s="23"/>
      <c r="F382" s="10"/>
      <c r="G382" s="10"/>
      <c r="H382" s="10"/>
      <c r="I382" s="11"/>
      <c r="J382" s="11"/>
      <c r="K382" s="11"/>
      <c r="L382" s="11"/>
      <c r="M382" s="11"/>
      <c r="N382" s="11"/>
      <c r="O382" s="11"/>
      <c r="P382" s="11"/>
      <c r="Q382" s="11"/>
    </row>
    <row r="383" spans="1:19" ht="18" customHeight="1" x14ac:dyDescent="0.3">
      <c r="A383" s="9"/>
      <c r="B383" s="42"/>
      <c r="C383" s="42"/>
      <c r="D383" s="42"/>
      <c r="E383" s="23"/>
      <c r="F383" s="10"/>
      <c r="G383" s="10"/>
      <c r="H383" s="10"/>
      <c r="I383" s="11"/>
      <c r="J383" s="11"/>
      <c r="K383" s="11"/>
      <c r="L383" s="11"/>
      <c r="M383" s="11"/>
      <c r="N383" s="11"/>
      <c r="O383" s="11"/>
      <c r="P383" s="11"/>
      <c r="Q383" s="11"/>
    </row>
    <row r="384" spans="1:19" ht="18" customHeight="1" x14ac:dyDescent="0.3">
      <c r="A384" s="9"/>
      <c r="B384" s="42"/>
      <c r="C384" s="42"/>
      <c r="D384" s="42"/>
      <c r="E384" s="23"/>
      <c r="F384" s="10"/>
      <c r="G384" s="10"/>
      <c r="H384" s="10"/>
      <c r="I384" s="11"/>
      <c r="J384" s="11"/>
      <c r="K384" s="11"/>
      <c r="L384" s="11"/>
      <c r="M384" s="11"/>
      <c r="N384" s="11"/>
      <c r="O384" s="11"/>
      <c r="P384" s="11"/>
      <c r="Q384" s="11"/>
    </row>
    <row r="385" spans="1:17" ht="18" customHeight="1" x14ac:dyDescent="0.3">
      <c r="A385" s="9"/>
      <c r="B385" s="42"/>
      <c r="C385" s="42"/>
      <c r="D385" s="42"/>
      <c r="E385" s="23"/>
      <c r="F385" s="10"/>
      <c r="G385" s="10"/>
      <c r="H385" s="10"/>
      <c r="I385" s="11"/>
      <c r="J385" s="11"/>
      <c r="K385" s="11"/>
      <c r="L385" s="11"/>
      <c r="M385" s="11"/>
      <c r="N385" s="11"/>
      <c r="O385" s="11"/>
      <c r="P385" s="11"/>
      <c r="Q385" s="11"/>
    </row>
    <row r="386" spans="1:17" ht="18" customHeight="1" x14ac:dyDescent="0.3">
      <c r="A386" s="9"/>
      <c r="B386" s="42"/>
      <c r="C386" s="42"/>
      <c r="D386" s="42"/>
      <c r="E386" s="23"/>
      <c r="F386" s="10"/>
      <c r="G386" s="10"/>
      <c r="H386" s="10"/>
      <c r="I386" s="11"/>
      <c r="J386" s="11"/>
      <c r="K386" s="11"/>
      <c r="L386" s="11"/>
      <c r="M386" s="11"/>
      <c r="N386" s="11"/>
      <c r="O386" s="11"/>
      <c r="P386" s="11"/>
      <c r="Q386" s="11"/>
    </row>
    <row r="387" spans="1:17" ht="18" customHeight="1" x14ac:dyDescent="0.3">
      <c r="A387" s="9"/>
      <c r="B387" s="42"/>
      <c r="C387" s="42"/>
      <c r="D387" s="42"/>
      <c r="E387" s="23"/>
      <c r="F387" s="10"/>
      <c r="G387" s="10"/>
      <c r="H387" s="10"/>
      <c r="I387" s="11"/>
      <c r="J387" s="11"/>
      <c r="K387" s="11"/>
      <c r="L387" s="11"/>
      <c r="M387" s="11"/>
      <c r="N387" s="11"/>
      <c r="O387" s="11"/>
      <c r="P387" s="11"/>
      <c r="Q387" s="11"/>
    </row>
    <row r="388" spans="1:17" ht="18" customHeight="1" x14ac:dyDescent="0.3">
      <c r="A388" s="9"/>
      <c r="B388" s="42"/>
      <c r="C388" s="42"/>
      <c r="D388" s="42"/>
      <c r="E388" s="23"/>
      <c r="F388" s="10"/>
      <c r="G388" s="10"/>
      <c r="H388" s="10"/>
      <c r="I388" s="11"/>
      <c r="J388" s="11"/>
      <c r="K388" s="11"/>
      <c r="L388" s="11"/>
      <c r="M388" s="11"/>
      <c r="N388" s="11"/>
      <c r="O388" s="11"/>
      <c r="P388" s="11"/>
      <c r="Q388" s="11"/>
    </row>
    <row r="389" spans="1:17" ht="18" customHeight="1" x14ac:dyDescent="0.3">
      <c r="A389" s="9"/>
      <c r="B389" s="42"/>
      <c r="C389" s="42"/>
      <c r="D389" s="42"/>
      <c r="E389" s="23"/>
      <c r="F389" s="10"/>
      <c r="G389" s="10"/>
      <c r="H389" s="10"/>
      <c r="I389" s="11"/>
      <c r="J389" s="11"/>
      <c r="K389" s="11"/>
      <c r="L389" s="11"/>
      <c r="M389" s="11"/>
      <c r="N389" s="11"/>
      <c r="O389" s="11"/>
      <c r="P389" s="11"/>
      <c r="Q389" s="11"/>
    </row>
    <row r="390" spans="1:17" ht="18" customHeight="1" x14ac:dyDescent="0.3">
      <c r="A390" s="9"/>
      <c r="B390" s="42"/>
      <c r="C390" s="42"/>
      <c r="D390" s="42"/>
      <c r="E390" s="23"/>
      <c r="F390" s="10"/>
      <c r="G390" s="10"/>
      <c r="H390" s="10"/>
      <c r="I390" s="11"/>
      <c r="J390" s="11"/>
      <c r="K390" s="11"/>
      <c r="L390" s="11"/>
      <c r="M390" s="11"/>
      <c r="N390" s="11"/>
      <c r="O390" s="11"/>
      <c r="P390" s="11"/>
      <c r="Q390" s="11"/>
    </row>
    <row r="391" spans="1:17" ht="18" customHeight="1" x14ac:dyDescent="0.3">
      <c r="A391" s="9"/>
      <c r="B391" s="42"/>
      <c r="C391" s="42"/>
      <c r="D391" s="42"/>
      <c r="E391" s="23"/>
      <c r="F391" s="10"/>
      <c r="G391" s="10"/>
      <c r="H391" s="10"/>
      <c r="I391" s="11"/>
      <c r="J391" s="11"/>
      <c r="K391" s="11"/>
      <c r="L391" s="11"/>
      <c r="M391" s="11"/>
      <c r="N391" s="11"/>
      <c r="O391" s="11"/>
      <c r="P391" s="11"/>
      <c r="Q391" s="11"/>
    </row>
    <row r="392" spans="1:17" ht="18" customHeight="1" x14ac:dyDescent="0.3">
      <c r="A392" s="9"/>
      <c r="B392" s="42"/>
      <c r="C392" s="42"/>
      <c r="D392" s="42"/>
      <c r="E392" s="23"/>
      <c r="F392" s="10"/>
      <c r="G392" s="10"/>
      <c r="H392" s="10"/>
      <c r="I392" s="11"/>
      <c r="J392" s="11"/>
      <c r="K392" s="11"/>
      <c r="L392" s="11"/>
      <c r="M392" s="11"/>
      <c r="N392" s="11"/>
      <c r="O392" s="11"/>
      <c r="P392" s="11"/>
      <c r="Q392" s="11"/>
    </row>
    <row r="393" spans="1:17" ht="18" customHeight="1" x14ac:dyDescent="0.3">
      <c r="A393" s="9"/>
      <c r="B393" s="42"/>
      <c r="C393" s="42"/>
      <c r="D393" s="42"/>
      <c r="E393" s="23"/>
      <c r="F393" s="10"/>
      <c r="G393" s="10"/>
      <c r="H393" s="10"/>
      <c r="I393" s="11"/>
      <c r="J393" s="11"/>
      <c r="K393" s="11"/>
      <c r="L393" s="11"/>
      <c r="M393" s="11"/>
      <c r="N393" s="11"/>
      <c r="O393" s="11"/>
      <c r="P393" s="11"/>
      <c r="Q393" s="11"/>
    </row>
    <row r="394" spans="1:17" ht="18" customHeight="1" x14ac:dyDescent="0.3">
      <c r="A394" s="9"/>
      <c r="B394" s="42"/>
      <c r="C394" s="42"/>
      <c r="D394" s="42"/>
      <c r="E394" s="23"/>
      <c r="F394" s="10"/>
      <c r="G394" s="10"/>
      <c r="H394" s="10"/>
      <c r="I394" s="11"/>
      <c r="J394" s="11"/>
      <c r="K394" s="11"/>
      <c r="L394" s="11"/>
      <c r="M394" s="11"/>
      <c r="N394" s="11"/>
      <c r="O394" s="11"/>
      <c r="P394" s="11"/>
      <c r="Q394" s="11"/>
    </row>
    <row r="395" spans="1:17" ht="18" customHeight="1" x14ac:dyDescent="0.3">
      <c r="A395" s="9"/>
      <c r="B395" s="42"/>
      <c r="C395" s="42"/>
      <c r="D395" s="42"/>
      <c r="E395" s="23"/>
      <c r="F395" s="10"/>
      <c r="G395" s="10"/>
      <c r="H395" s="10"/>
      <c r="I395" s="11"/>
      <c r="J395" s="11"/>
      <c r="K395" s="11"/>
      <c r="L395" s="11"/>
      <c r="M395" s="11"/>
      <c r="N395" s="11"/>
      <c r="O395" s="11"/>
      <c r="P395" s="11"/>
      <c r="Q395" s="11"/>
    </row>
    <row r="396" spans="1:17" ht="18" customHeight="1" x14ac:dyDescent="0.3">
      <c r="A396" s="9"/>
      <c r="B396" s="42"/>
      <c r="C396" s="42"/>
      <c r="D396" s="42"/>
      <c r="E396" s="23"/>
      <c r="F396" s="10"/>
      <c r="G396" s="10"/>
      <c r="H396" s="10"/>
      <c r="I396" s="11"/>
      <c r="J396" s="11"/>
      <c r="K396" s="11"/>
      <c r="L396" s="11"/>
      <c r="M396" s="11"/>
      <c r="N396" s="11"/>
      <c r="O396" s="11"/>
      <c r="P396" s="11"/>
      <c r="Q396" s="11"/>
    </row>
    <row r="397" spans="1:17" ht="18" customHeight="1" x14ac:dyDescent="0.3">
      <c r="A397" s="9"/>
      <c r="B397" s="42"/>
      <c r="C397" s="42"/>
      <c r="D397" s="42"/>
      <c r="E397" s="23"/>
      <c r="F397" s="10"/>
      <c r="G397" s="10"/>
      <c r="H397" s="10"/>
      <c r="I397" s="11"/>
      <c r="J397" s="11"/>
      <c r="K397" s="11"/>
      <c r="L397" s="11"/>
      <c r="M397" s="11"/>
      <c r="N397" s="11"/>
      <c r="O397" s="11"/>
      <c r="P397" s="11"/>
      <c r="Q397" s="11"/>
    </row>
    <row r="398" spans="1:17" ht="18" customHeight="1" x14ac:dyDescent="0.3">
      <c r="A398" s="9"/>
      <c r="B398" s="42"/>
      <c r="C398" s="42"/>
      <c r="D398" s="42"/>
      <c r="E398" s="23"/>
      <c r="F398" s="10"/>
      <c r="G398" s="10"/>
      <c r="H398" s="10"/>
      <c r="I398" s="11"/>
      <c r="J398" s="11"/>
      <c r="K398" s="11"/>
      <c r="L398" s="11"/>
      <c r="M398" s="11"/>
      <c r="N398" s="11"/>
      <c r="O398" s="11"/>
      <c r="P398" s="11"/>
      <c r="Q398" s="11"/>
    </row>
    <row r="399" spans="1:17" ht="18" customHeight="1" x14ac:dyDescent="0.3">
      <c r="A399" s="9"/>
      <c r="B399" s="42"/>
      <c r="C399" s="42"/>
      <c r="D399" s="42"/>
      <c r="E399" s="23"/>
      <c r="F399" s="10"/>
      <c r="G399" s="10"/>
      <c r="H399" s="10"/>
      <c r="I399" s="11"/>
      <c r="J399" s="11"/>
      <c r="K399" s="11"/>
      <c r="L399" s="11"/>
      <c r="M399" s="11"/>
      <c r="N399" s="11"/>
      <c r="O399" s="11"/>
      <c r="P399" s="11"/>
      <c r="Q399" s="11"/>
    </row>
    <row r="400" spans="1:17" ht="18" customHeight="1" x14ac:dyDescent="0.3">
      <c r="A400" s="9"/>
      <c r="B400" s="42"/>
      <c r="C400" s="42"/>
      <c r="D400" s="42"/>
      <c r="E400" s="23"/>
      <c r="F400" s="10"/>
      <c r="G400" s="10"/>
      <c r="H400" s="10"/>
      <c r="I400" s="11"/>
      <c r="J400" s="11"/>
      <c r="K400" s="11"/>
      <c r="L400" s="11"/>
      <c r="M400" s="11"/>
      <c r="N400" s="11"/>
      <c r="O400" s="11"/>
      <c r="P400" s="11"/>
      <c r="Q400" s="11"/>
    </row>
    <row r="401" spans="1:17" ht="18" customHeight="1" x14ac:dyDescent="0.3">
      <c r="A401" s="9"/>
      <c r="B401" s="42"/>
      <c r="C401" s="42"/>
      <c r="D401" s="42"/>
      <c r="E401" s="23"/>
      <c r="F401" s="10"/>
      <c r="G401" s="10"/>
      <c r="H401" s="10"/>
      <c r="I401" s="11"/>
      <c r="J401" s="11"/>
      <c r="K401" s="11"/>
      <c r="L401" s="11"/>
      <c r="M401" s="11"/>
      <c r="N401" s="11"/>
      <c r="O401" s="11"/>
      <c r="P401" s="11"/>
      <c r="Q401" s="11"/>
    </row>
    <row r="402" spans="1:17" ht="18" customHeight="1" x14ac:dyDescent="0.3">
      <c r="A402" s="9"/>
      <c r="B402" s="42"/>
      <c r="C402" s="42"/>
      <c r="D402" s="42"/>
      <c r="E402" s="23"/>
      <c r="F402" s="10"/>
      <c r="G402" s="10"/>
      <c r="H402" s="10"/>
      <c r="I402" s="11"/>
      <c r="J402" s="11"/>
      <c r="K402" s="11"/>
      <c r="L402" s="11"/>
      <c r="M402" s="11"/>
      <c r="N402" s="11"/>
      <c r="O402" s="11"/>
      <c r="P402" s="11"/>
      <c r="Q402" s="11"/>
    </row>
    <row r="403" spans="1:17" ht="18" customHeight="1" x14ac:dyDescent="0.3">
      <c r="A403" s="9"/>
      <c r="B403" s="42"/>
      <c r="C403" s="42"/>
      <c r="D403" s="42"/>
      <c r="E403" s="23"/>
      <c r="F403" s="10"/>
      <c r="G403" s="10"/>
      <c r="H403" s="10"/>
      <c r="I403" s="11"/>
      <c r="J403" s="11"/>
      <c r="K403" s="11"/>
      <c r="L403" s="11"/>
      <c r="M403" s="11"/>
      <c r="N403" s="11"/>
      <c r="O403" s="11"/>
      <c r="P403" s="11"/>
      <c r="Q403" s="11"/>
    </row>
    <row r="404" spans="1:17" ht="18.75" customHeight="1" x14ac:dyDescent="0.3">
      <c r="L404" s="4"/>
    </row>
  </sheetData>
  <mergeCells count="443">
    <mergeCell ref="R93:R94"/>
    <mergeCell ref="B358:R359"/>
    <mergeCell ref="F248:F249"/>
    <mergeCell ref="G248:G249"/>
    <mergeCell ref="N248:N249"/>
    <mergeCell ref="O248:O249"/>
    <mergeCell ref="P248:P249"/>
    <mergeCell ref="Q248:Q249"/>
    <mergeCell ref="F238:H238"/>
    <mergeCell ref="A243:Q243"/>
    <mergeCell ref="A244:Q244"/>
    <mergeCell ref="F254:H254"/>
    <mergeCell ref="H248:H249"/>
    <mergeCell ref="I248:I249"/>
    <mergeCell ref="J248:J249"/>
    <mergeCell ref="K248:K249"/>
    <mergeCell ref="L248:L249"/>
    <mergeCell ref="M248:M249"/>
    <mergeCell ref="A245:Q245"/>
    <mergeCell ref="B246:E247"/>
    <mergeCell ref="F246:H246"/>
    <mergeCell ref="F247:H247"/>
    <mergeCell ref="A248:A249"/>
    <mergeCell ref="B248:B249"/>
    <mergeCell ref="M194:M195"/>
    <mergeCell ref="N194:N195"/>
    <mergeCell ref="A191:Q191"/>
    <mergeCell ref="B192:E193"/>
    <mergeCell ref="F192:H192"/>
    <mergeCell ref="H209:H210"/>
    <mergeCell ref="O209:O210"/>
    <mergeCell ref="R209:R210"/>
    <mergeCell ref="R192:R193"/>
    <mergeCell ref="R194:R195"/>
    <mergeCell ref="P209:P210"/>
    <mergeCell ref="Q209:Q210"/>
    <mergeCell ref="F199:H199"/>
    <mergeCell ref="A204:Q204"/>
    <mergeCell ref="Q194:Q195"/>
    <mergeCell ref="I194:I195"/>
    <mergeCell ref="J194:J195"/>
    <mergeCell ref="K194:K195"/>
    <mergeCell ref="L194:L195"/>
    <mergeCell ref="F193:H193"/>
    <mergeCell ref="A194:A195"/>
    <mergeCell ref="B194:B195"/>
    <mergeCell ref="E194:E195"/>
    <mergeCell ref="F194:F195"/>
    <mergeCell ref="F215:H215"/>
    <mergeCell ref="I209:I210"/>
    <mergeCell ref="J209:J210"/>
    <mergeCell ref="K209:K210"/>
    <mergeCell ref="L209:L210"/>
    <mergeCell ref="M209:M210"/>
    <mergeCell ref="N209:N210"/>
    <mergeCell ref="A209:A210"/>
    <mergeCell ref="B209:B210"/>
    <mergeCell ref="E209:E210"/>
    <mergeCell ref="F209:F210"/>
    <mergeCell ref="G209:G210"/>
    <mergeCell ref="B4:R5"/>
    <mergeCell ref="B40:R41"/>
    <mergeCell ref="B56:R57"/>
    <mergeCell ref="B75:R76"/>
    <mergeCell ref="R6:R7"/>
    <mergeCell ref="A74:Q74"/>
    <mergeCell ref="F67:H67"/>
    <mergeCell ref="A72:Q72"/>
    <mergeCell ref="A73:Q73"/>
    <mergeCell ref="I58:I59"/>
    <mergeCell ref="J58:J59"/>
    <mergeCell ref="K58:K59"/>
    <mergeCell ref="L58:L59"/>
    <mergeCell ref="M58:M59"/>
    <mergeCell ref="N58:N59"/>
    <mergeCell ref="A55:Q55"/>
    <mergeCell ref="A58:A59"/>
    <mergeCell ref="B58:B59"/>
    <mergeCell ref="E58:E59"/>
    <mergeCell ref="F58:F59"/>
    <mergeCell ref="G58:G59"/>
    <mergeCell ref="H58:H59"/>
    <mergeCell ref="O58:O59"/>
    <mergeCell ref="P58:P59"/>
    <mergeCell ref="R360:R361"/>
    <mergeCell ref="R317:R318"/>
    <mergeCell ref="R20:R21"/>
    <mergeCell ref="R42:R43"/>
    <mergeCell ref="R58:R59"/>
    <mergeCell ref="R77:R78"/>
    <mergeCell ref="R299:R300"/>
    <mergeCell ref="R301:R302"/>
    <mergeCell ref="R287:R288"/>
    <mergeCell ref="B110:R111"/>
    <mergeCell ref="B128:R129"/>
    <mergeCell ref="B148:R149"/>
    <mergeCell ref="A207:R208"/>
    <mergeCell ref="R150:R151"/>
    <mergeCell ref="R130:R131"/>
    <mergeCell ref="R112:R113"/>
    <mergeCell ref="A205:Q205"/>
    <mergeCell ref="B223:R224"/>
    <mergeCell ref="A206:Q206"/>
    <mergeCell ref="B91:R92"/>
    <mergeCell ref="R264:R265"/>
    <mergeCell ref="R248:R249"/>
    <mergeCell ref="R246:R247"/>
    <mergeCell ref="R225:R226"/>
    <mergeCell ref="F277:H277"/>
    <mergeCell ref="A282:Q282"/>
    <mergeCell ref="A283:Q283"/>
    <mergeCell ref="A261:Q261"/>
    <mergeCell ref="A264:A265"/>
    <mergeCell ref="B264:B265"/>
    <mergeCell ref="E264:E265"/>
    <mergeCell ref="F264:F265"/>
    <mergeCell ref="G264:G265"/>
    <mergeCell ref="H264:H265"/>
    <mergeCell ref="I264:I265"/>
    <mergeCell ref="J264:J265"/>
    <mergeCell ref="K264:K265"/>
    <mergeCell ref="L264:L265"/>
    <mergeCell ref="M264:M265"/>
    <mergeCell ref="N264:N265"/>
    <mergeCell ref="O264:O265"/>
    <mergeCell ref="P264:P265"/>
    <mergeCell ref="Q264:Q265"/>
    <mergeCell ref="B262:R263"/>
    <mergeCell ref="A284:Q284"/>
    <mergeCell ref="B285:E286"/>
    <mergeCell ref="F285:H285"/>
    <mergeCell ref="F286:H286"/>
    <mergeCell ref="A287:A288"/>
    <mergeCell ref="B287:B288"/>
    <mergeCell ref="N287:N288"/>
    <mergeCell ref="O287:O288"/>
    <mergeCell ref="P287:P288"/>
    <mergeCell ref="Q287:Q288"/>
    <mergeCell ref="M287:M288"/>
    <mergeCell ref="C287:C288"/>
    <mergeCell ref="D287:D288"/>
    <mergeCell ref="H287:H288"/>
    <mergeCell ref="I287:I288"/>
    <mergeCell ref="J287:J288"/>
    <mergeCell ref="K287:K288"/>
    <mergeCell ref="L287:L288"/>
    <mergeCell ref="N150:N151"/>
    <mergeCell ref="A189:Q189"/>
    <mergeCell ref="A190:Q190"/>
    <mergeCell ref="A259:Q259"/>
    <mergeCell ref="A260:Q260"/>
    <mergeCell ref="A220:Q220"/>
    <mergeCell ref="A221:Q221"/>
    <mergeCell ref="A222:Q222"/>
    <mergeCell ref="A225:A226"/>
    <mergeCell ref="B225:B226"/>
    <mergeCell ref="E225:E226"/>
    <mergeCell ref="F225:F226"/>
    <mergeCell ref="G225:G226"/>
    <mergeCell ref="N225:N226"/>
    <mergeCell ref="O225:O226"/>
    <mergeCell ref="P225:P226"/>
    <mergeCell ref="Q225:Q226"/>
    <mergeCell ref="H225:H226"/>
    <mergeCell ref="I225:I226"/>
    <mergeCell ref="J225:J226"/>
    <mergeCell ref="K225:K226"/>
    <mergeCell ref="L225:L226"/>
    <mergeCell ref="M225:M226"/>
    <mergeCell ref="E248:E249"/>
    <mergeCell ref="G194:G195"/>
    <mergeCell ref="H194:H195"/>
    <mergeCell ref="O194:O195"/>
    <mergeCell ref="P194:P195"/>
    <mergeCell ref="C194:C195"/>
    <mergeCell ref="A147:Q147"/>
    <mergeCell ref="A150:A151"/>
    <mergeCell ref="B150:B151"/>
    <mergeCell ref="E150:E151"/>
    <mergeCell ref="F150:F151"/>
    <mergeCell ref="G150:G151"/>
    <mergeCell ref="H150:H151"/>
    <mergeCell ref="O150:O151"/>
    <mergeCell ref="P150:P151"/>
    <mergeCell ref="Q150:Q151"/>
    <mergeCell ref="C150:C151"/>
    <mergeCell ref="D150:D151"/>
    <mergeCell ref="F185:H185"/>
    <mergeCell ref="F184:H184"/>
    <mergeCell ref="I150:I151"/>
    <mergeCell ref="J150:J151"/>
    <mergeCell ref="K150:K151"/>
    <mergeCell ref="L150:L151"/>
    <mergeCell ref="M150:M151"/>
    <mergeCell ref="F139:H139"/>
    <mergeCell ref="A145:Q145"/>
    <mergeCell ref="A146:Q146"/>
    <mergeCell ref="I130:I131"/>
    <mergeCell ref="J130:J131"/>
    <mergeCell ref="K130:K131"/>
    <mergeCell ref="L130:L131"/>
    <mergeCell ref="M130:M131"/>
    <mergeCell ref="N130:N131"/>
    <mergeCell ref="F140:H140"/>
    <mergeCell ref="A127:Q127"/>
    <mergeCell ref="A130:A131"/>
    <mergeCell ref="B130:B131"/>
    <mergeCell ref="E130:E131"/>
    <mergeCell ref="F130:F131"/>
    <mergeCell ref="G130:G131"/>
    <mergeCell ref="H130:H131"/>
    <mergeCell ref="O130:O131"/>
    <mergeCell ref="P130:P131"/>
    <mergeCell ref="Q130:Q131"/>
    <mergeCell ref="C130:C131"/>
    <mergeCell ref="D130:D131"/>
    <mergeCell ref="F120:H120"/>
    <mergeCell ref="A125:Q125"/>
    <mergeCell ref="A126:Q126"/>
    <mergeCell ref="I112:I113"/>
    <mergeCell ref="J112:J113"/>
    <mergeCell ref="K112:K113"/>
    <mergeCell ref="L112:L113"/>
    <mergeCell ref="M112:M113"/>
    <mergeCell ref="N112:N113"/>
    <mergeCell ref="F121:H121"/>
    <mergeCell ref="I93:I94"/>
    <mergeCell ref="J93:J94"/>
    <mergeCell ref="K93:K94"/>
    <mergeCell ref="L93:L94"/>
    <mergeCell ref="M93:M94"/>
    <mergeCell ref="N93:N94"/>
    <mergeCell ref="F103:H103"/>
    <mergeCell ref="A109:Q109"/>
    <mergeCell ref="A112:A113"/>
    <mergeCell ref="B112:B113"/>
    <mergeCell ref="E112:E113"/>
    <mergeCell ref="F112:F113"/>
    <mergeCell ref="G112:G113"/>
    <mergeCell ref="H112:H113"/>
    <mergeCell ref="O112:O113"/>
    <mergeCell ref="P112:P113"/>
    <mergeCell ref="Q112:Q113"/>
    <mergeCell ref="C112:C113"/>
    <mergeCell ref="D112:D113"/>
    <mergeCell ref="O77:O78"/>
    <mergeCell ref="P77:P78"/>
    <mergeCell ref="Q77:Q78"/>
    <mergeCell ref="A90:Q90"/>
    <mergeCell ref="A93:A94"/>
    <mergeCell ref="B93:B94"/>
    <mergeCell ref="E93:E94"/>
    <mergeCell ref="F93:F94"/>
    <mergeCell ref="G93:G94"/>
    <mergeCell ref="H93:H94"/>
    <mergeCell ref="O93:O94"/>
    <mergeCell ref="P93:P94"/>
    <mergeCell ref="Q93:Q94"/>
    <mergeCell ref="C93:C94"/>
    <mergeCell ref="D93:D94"/>
    <mergeCell ref="I77:I78"/>
    <mergeCell ref="J77:J78"/>
    <mergeCell ref="K77:K78"/>
    <mergeCell ref="L77:L78"/>
    <mergeCell ref="M77:M78"/>
    <mergeCell ref="N77:N78"/>
    <mergeCell ref="A77:A78"/>
    <mergeCell ref="B77:B78"/>
    <mergeCell ref="E77:E78"/>
    <mergeCell ref="F77:F78"/>
    <mergeCell ref="G77:G78"/>
    <mergeCell ref="H77:H78"/>
    <mergeCell ref="F6:F7"/>
    <mergeCell ref="G6:G7"/>
    <mergeCell ref="H6:H7"/>
    <mergeCell ref="A17:Q17"/>
    <mergeCell ref="A20:A21"/>
    <mergeCell ref="B20:B21"/>
    <mergeCell ref="E20:E21"/>
    <mergeCell ref="F20:F21"/>
    <mergeCell ref="G20:G21"/>
    <mergeCell ref="F12:H12"/>
    <mergeCell ref="B18:R19"/>
    <mergeCell ref="F31:H31"/>
    <mergeCell ref="A37:Q37"/>
    <mergeCell ref="A38:Q38"/>
    <mergeCell ref="I20:I21"/>
    <mergeCell ref="J20:J21"/>
    <mergeCell ref="K20:K21"/>
    <mergeCell ref="L20:L21"/>
    <mergeCell ref="M20:M21"/>
    <mergeCell ref="N20:N21"/>
    <mergeCell ref="C20:C21"/>
    <mergeCell ref="A1:Q1"/>
    <mergeCell ref="A2:Q2"/>
    <mergeCell ref="A3:Q3"/>
    <mergeCell ref="O6:O7"/>
    <mergeCell ref="P6:P7"/>
    <mergeCell ref="Q6:Q7"/>
    <mergeCell ref="H20:H21"/>
    <mergeCell ref="O20:O21"/>
    <mergeCell ref="P20:P21"/>
    <mergeCell ref="Q20:Q21"/>
    <mergeCell ref="D6:D7"/>
    <mergeCell ref="C6:C7"/>
    <mergeCell ref="F11:H11"/>
    <mergeCell ref="A15:Q15"/>
    <mergeCell ref="A16:Q16"/>
    <mergeCell ref="I6:I7"/>
    <mergeCell ref="J6:J7"/>
    <mergeCell ref="K6:K7"/>
    <mergeCell ref="L6:L7"/>
    <mergeCell ref="M6:M7"/>
    <mergeCell ref="N6:N7"/>
    <mergeCell ref="A6:A7"/>
    <mergeCell ref="B6:B7"/>
    <mergeCell ref="E6:E7"/>
    <mergeCell ref="D20:D21"/>
    <mergeCell ref="F291:H291"/>
    <mergeCell ref="A296:Q296"/>
    <mergeCell ref="A297:Q297"/>
    <mergeCell ref="B42:B43"/>
    <mergeCell ref="E42:E43"/>
    <mergeCell ref="F42:F43"/>
    <mergeCell ref="G42:G43"/>
    <mergeCell ref="H42:H43"/>
    <mergeCell ref="O42:O43"/>
    <mergeCell ref="P42:P43"/>
    <mergeCell ref="Q42:Q43"/>
    <mergeCell ref="Q58:Q59"/>
    <mergeCell ref="F48:H48"/>
    <mergeCell ref="A53:Q53"/>
    <mergeCell ref="A54:Q54"/>
    <mergeCell ref="I42:I43"/>
    <mergeCell ref="J42:J43"/>
    <mergeCell ref="K42:K43"/>
    <mergeCell ref="L42:L43"/>
    <mergeCell ref="M42:M43"/>
    <mergeCell ref="N42:N43"/>
    <mergeCell ref="F83:H83"/>
    <mergeCell ref="A88:Q88"/>
    <mergeCell ref="A89:Q89"/>
    <mergeCell ref="A301:A302"/>
    <mergeCell ref="B301:B302"/>
    <mergeCell ref="E301:E302"/>
    <mergeCell ref="F301:F302"/>
    <mergeCell ref="G301:G302"/>
    <mergeCell ref="H301:H302"/>
    <mergeCell ref="I301:I302"/>
    <mergeCell ref="J301:J302"/>
    <mergeCell ref="K301:K302"/>
    <mergeCell ref="C301:C302"/>
    <mergeCell ref="D301:D302"/>
    <mergeCell ref="D194:D195"/>
    <mergeCell ref="C209:C210"/>
    <mergeCell ref="D209:D210"/>
    <mergeCell ref="C225:C226"/>
    <mergeCell ref="D225:D226"/>
    <mergeCell ref="C248:C249"/>
    <mergeCell ref="D248:D249"/>
    <mergeCell ref="C264:C265"/>
    <mergeCell ref="D264:D265"/>
    <mergeCell ref="F102:H102"/>
    <mergeCell ref="A107:Q107"/>
    <mergeCell ref="A108:Q108"/>
    <mergeCell ref="Q360:Q361"/>
    <mergeCell ref="A360:A361"/>
    <mergeCell ref="B360:B361"/>
    <mergeCell ref="E360:E361"/>
    <mergeCell ref="F360:F361"/>
    <mergeCell ref="G360:G361"/>
    <mergeCell ref="H360:H361"/>
    <mergeCell ref="I360:I361"/>
    <mergeCell ref="J360:J361"/>
    <mergeCell ref="K360:K361"/>
    <mergeCell ref="C360:C361"/>
    <mergeCell ref="D360:D361"/>
    <mergeCell ref="L360:L361"/>
    <mergeCell ref="M360:M361"/>
    <mergeCell ref="N360:N361"/>
    <mergeCell ref="O360:O361"/>
    <mergeCell ref="P360:P361"/>
    <mergeCell ref="J317:J318"/>
    <mergeCell ref="K317:K318"/>
    <mergeCell ref="L317:L318"/>
    <mergeCell ref="M317:M318"/>
    <mergeCell ref="N317:N318"/>
    <mergeCell ref="O317:O318"/>
    <mergeCell ref="P317:P318"/>
    <mergeCell ref="A298:Q298"/>
    <mergeCell ref="B299:E300"/>
    <mergeCell ref="F299:H299"/>
    <mergeCell ref="Q317:Q318"/>
    <mergeCell ref="B315:R316"/>
    <mergeCell ref="C317:C318"/>
    <mergeCell ref="F376:H376"/>
    <mergeCell ref="F278:H278"/>
    <mergeCell ref="F292:H292"/>
    <mergeCell ref="F306:H306"/>
    <mergeCell ref="F255:H255"/>
    <mergeCell ref="F239:H239"/>
    <mergeCell ref="F216:H216"/>
    <mergeCell ref="F200:H200"/>
    <mergeCell ref="D317:D318"/>
    <mergeCell ref="F375:H375"/>
    <mergeCell ref="F350:H350"/>
    <mergeCell ref="A355:Q355"/>
    <mergeCell ref="A356:Q356"/>
    <mergeCell ref="A357:Q357"/>
    <mergeCell ref="A312:Q312"/>
    <mergeCell ref="A313:Q313"/>
    <mergeCell ref="A314:Q314"/>
    <mergeCell ref="A317:A318"/>
    <mergeCell ref="B317:B318"/>
    <mergeCell ref="E317:E318"/>
    <mergeCell ref="F317:F318"/>
    <mergeCell ref="G317:G318"/>
    <mergeCell ref="H317:H318"/>
    <mergeCell ref="I317:I318"/>
    <mergeCell ref="F84:H84"/>
    <mergeCell ref="F68:H68"/>
    <mergeCell ref="F49:H49"/>
    <mergeCell ref="F32:H32"/>
    <mergeCell ref="F351:H351"/>
    <mergeCell ref="A39:Q39"/>
    <mergeCell ref="A42:A43"/>
    <mergeCell ref="L301:L302"/>
    <mergeCell ref="M301:M302"/>
    <mergeCell ref="N301:N302"/>
    <mergeCell ref="O301:O302"/>
    <mergeCell ref="P301:P302"/>
    <mergeCell ref="Q301:Q302"/>
    <mergeCell ref="F305:H305"/>
    <mergeCell ref="C42:C43"/>
    <mergeCell ref="D42:D43"/>
    <mergeCell ref="C58:C59"/>
    <mergeCell ref="D58:D59"/>
    <mergeCell ref="C77:C78"/>
    <mergeCell ref="D77:D78"/>
    <mergeCell ref="F300:H300"/>
    <mergeCell ref="E287:E288"/>
    <mergeCell ref="F287:F288"/>
    <mergeCell ref="G287:G288"/>
  </mergeCells>
  <phoneticPr fontId="20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31" fitToHeight="0" orientation="landscape" horizontalDpi="360" verticalDpi="360" r:id="rId1"/>
  <rowBreaks count="1" manualBreakCount="1">
    <brk id="311" max="16" man="1"/>
  </rowBreaks>
  <ignoredErrors>
    <ignoredError sqref="Q228 O62 I62 K115:L115 O322 Q116:Q117 Q320:Q321 Q322 O117 O228 K351 O320 Q364 O364" formula="1"/>
    <ignoredError sqref="F16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 DE PERSONAL 2025</vt:lpstr>
      <vt:lpstr>'PLANTILLA DE PERSONAL 2025'!Área_de_impresión</vt:lpstr>
    </vt:vector>
  </TitlesOfParts>
  <Company>Piratas Unidos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juan jose dominguez cruz</cp:lastModifiedBy>
  <cp:lastPrinted>2024-12-26T06:04:08Z</cp:lastPrinted>
  <dcterms:created xsi:type="dcterms:W3CDTF">2017-05-10T18:40:11Z</dcterms:created>
  <dcterms:modified xsi:type="dcterms:W3CDTF">2024-12-29T23:32:40Z</dcterms:modified>
</cp:coreProperties>
</file>